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910DCA3C-53AC-4D19-BDC4-69B708318A8F}" xr6:coauthVersionLast="47" xr6:coauthVersionMax="47" xr10:uidLastSave="{00000000-0000-0000-0000-000000000000}"/>
  <bookViews>
    <workbookView xWindow="-108" yWindow="-108" windowWidth="23256" windowHeight="14016" xr2:uid="{2B10B786-4FC7-CF47-98B4-92647F97EB51}"/>
  </bookViews>
  <sheets>
    <sheet name="Income and Expenditure" sheetId="3" r:id="rId1"/>
    <sheet name="Staff" sheetId="6" r:id="rId2"/>
    <sheet name="Footfall" sheetId="4" r:id="rId3"/>
    <sheet name="Capital Costs" sheetId="2" r:id="rId4"/>
    <sheet name="Sensitivity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5" l="1"/>
  <c r="AN32" i="5"/>
  <c r="AH32" i="5"/>
  <c r="AB32" i="5"/>
  <c r="AM18" i="5"/>
  <c r="AG18" i="5"/>
  <c r="AA18" i="5"/>
  <c r="U18" i="5"/>
  <c r="AM11" i="5"/>
  <c r="AM10" i="5"/>
  <c r="AG11" i="5"/>
  <c r="AG10" i="5"/>
  <c r="AA11" i="5"/>
  <c r="AA10" i="5"/>
  <c r="U11" i="5"/>
  <c r="U10" i="5"/>
  <c r="AM9" i="5"/>
  <c r="AG9" i="5"/>
  <c r="AA9" i="5"/>
  <c r="U9" i="5"/>
  <c r="AM6" i="5"/>
  <c r="AM5" i="5"/>
  <c r="AG6" i="5"/>
  <c r="AG5" i="5"/>
  <c r="AA6" i="5"/>
  <c r="AA5" i="5"/>
  <c r="U6" i="5"/>
  <c r="U5" i="5"/>
  <c r="AM46" i="5" l="1"/>
  <c r="AN48" i="5" s="1"/>
  <c r="AN36" i="5"/>
  <c r="AN25" i="5"/>
  <c r="AM19" i="5"/>
  <c r="AN20" i="5"/>
  <c r="AN13" i="5"/>
  <c r="AG46" i="5"/>
  <c r="AH48" i="5" s="1"/>
  <c r="AH36" i="5"/>
  <c r="AH25" i="5"/>
  <c r="AG19" i="5"/>
  <c r="AH20" i="5"/>
  <c r="AH50" i="5" s="1"/>
  <c r="AH52" i="5" s="1"/>
  <c r="AH54" i="5" s="1"/>
  <c r="AH13" i="5"/>
  <c r="AA46" i="5"/>
  <c r="AB48" i="5" s="1"/>
  <c r="AB36" i="5"/>
  <c r="AB25" i="5"/>
  <c r="AA19" i="5"/>
  <c r="AB13" i="5"/>
  <c r="U46" i="5"/>
  <c r="V48" i="5" s="1"/>
  <c r="V36" i="5"/>
  <c r="V25" i="5"/>
  <c r="U19" i="5"/>
  <c r="V13" i="5"/>
  <c r="G34" i="5"/>
  <c r="E34" i="5"/>
  <c r="H34" i="5" s="1"/>
  <c r="G32" i="5"/>
  <c r="E32" i="5"/>
  <c r="H32" i="5" s="1"/>
  <c r="G30" i="5"/>
  <c r="E30" i="5"/>
  <c r="H30" i="5" s="1"/>
  <c r="G28" i="5"/>
  <c r="E28" i="5"/>
  <c r="H28" i="5" s="1"/>
  <c r="G26" i="5"/>
  <c r="E26" i="5"/>
  <c r="H26" i="5" s="1"/>
  <c r="G24" i="5"/>
  <c r="E24" i="5"/>
  <c r="H24" i="5" s="1"/>
  <c r="G15" i="5"/>
  <c r="E15" i="5"/>
  <c r="H15" i="5" s="1"/>
  <c r="G14" i="5"/>
  <c r="G33" i="5" s="1"/>
  <c r="E14" i="5"/>
  <c r="E33" i="5" s="1"/>
  <c r="G13" i="5"/>
  <c r="E13" i="5"/>
  <c r="H13" i="5" s="1"/>
  <c r="G12" i="5"/>
  <c r="G31" i="5" s="1"/>
  <c r="E12" i="5"/>
  <c r="E31" i="5" s="1"/>
  <c r="H31" i="5" s="1"/>
  <c r="G11" i="5"/>
  <c r="E11" i="5"/>
  <c r="H11" i="5" s="1"/>
  <c r="G10" i="5"/>
  <c r="G29" i="5" s="1"/>
  <c r="E10" i="5"/>
  <c r="E29" i="5" s="1"/>
  <c r="H29" i="5" s="1"/>
  <c r="G9" i="5"/>
  <c r="E9" i="5"/>
  <c r="H9" i="5" s="1"/>
  <c r="G8" i="5"/>
  <c r="G27" i="5" s="1"/>
  <c r="E8" i="5"/>
  <c r="E27" i="5" s="1"/>
  <c r="H27" i="5" s="1"/>
  <c r="G7" i="5"/>
  <c r="E7" i="5"/>
  <c r="H7" i="5" s="1"/>
  <c r="G6" i="5"/>
  <c r="G25" i="5" s="1"/>
  <c r="E6" i="5"/>
  <c r="E25" i="5" s="1"/>
  <c r="H25" i="5" s="1"/>
  <c r="G5" i="5"/>
  <c r="E5" i="5"/>
  <c r="H5" i="5" s="1"/>
  <c r="G4" i="5"/>
  <c r="G23" i="5" s="1"/>
  <c r="E4" i="5"/>
  <c r="E23" i="5" s="1"/>
  <c r="J6" i="6"/>
  <c r="J5" i="6"/>
  <c r="J4" i="6"/>
  <c r="G6" i="6"/>
  <c r="K6" i="6" s="1"/>
  <c r="G5" i="6"/>
  <c r="I5" i="6" s="1"/>
  <c r="G4" i="6"/>
  <c r="I4" i="6" s="1"/>
  <c r="G3" i="6"/>
  <c r="K3" i="6" s="1"/>
  <c r="C7" i="6"/>
  <c r="G7" i="6" s="1"/>
  <c r="M7" i="6" s="1"/>
  <c r="C29" i="3" s="1"/>
  <c r="D34" i="3"/>
  <c r="D23" i="3"/>
  <c r="AB20" i="5" l="1"/>
  <c r="V20" i="5"/>
  <c r="AB50" i="5"/>
  <c r="AB52" i="5" s="1"/>
  <c r="AB54" i="5" s="1"/>
  <c r="AB56" i="5" s="1"/>
  <c r="AH56" i="5"/>
  <c r="AN50" i="5"/>
  <c r="AN52" i="5" s="1"/>
  <c r="AN54" i="5" s="1"/>
  <c r="AN56" i="5" s="1"/>
  <c r="V50" i="5"/>
  <c r="V52" i="5" s="1"/>
  <c r="V54" i="5" s="1"/>
  <c r="V56" i="5" s="1"/>
  <c r="H23" i="5"/>
  <c r="E36" i="5"/>
  <c r="G36" i="5"/>
  <c r="H33" i="5"/>
  <c r="E17" i="5"/>
  <c r="G17" i="5"/>
  <c r="H8" i="5"/>
  <c r="H12" i="5"/>
  <c r="H14" i="5"/>
  <c r="H4" i="5"/>
  <c r="H6" i="5"/>
  <c r="H10" i="5"/>
  <c r="I6" i="6"/>
  <c r="M6" i="6" s="1"/>
  <c r="C28" i="3" s="1"/>
  <c r="K4" i="6"/>
  <c r="M4" i="6" s="1"/>
  <c r="C26" i="3" s="1"/>
  <c r="I3" i="6"/>
  <c r="M3" i="6" s="1"/>
  <c r="J3" i="6"/>
  <c r="K5" i="6"/>
  <c r="M5" i="6" s="1"/>
  <c r="C27" i="3" s="1"/>
  <c r="G15" i="4"/>
  <c r="G34" i="4" s="1"/>
  <c r="G14" i="4"/>
  <c r="G33" i="4" s="1"/>
  <c r="G13" i="4"/>
  <c r="G32" i="4" s="1"/>
  <c r="H32" i="4" s="1"/>
  <c r="G12" i="4"/>
  <c r="G31" i="4" s="1"/>
  <c r="G11" i="4"/>
  <c r="G30" i="4" s="1"/>
  <c r="G10" i="4"/>
  <c r="G29" i="4" s="1"/>
  <c r="G9" i="4"/>
  <c r="G28" i="4" s="1"/>
  <c r="G8" i="4"/>
  <c r="G27" i="4" s="1"/>
  <c r="G7" i="4"/>
  <c r="G26" i="4" s="1"/>
  <c r="G6" i="4"/>
  <c r="G25" i="4" s="1"/>
  <c r="G5" i="4"/>
  <c r="G24" i="4" s="1"/>
  <c r="E15" i="4"/>
  <c r="E34" i="4" s="1"/>
  <c r="E14" i="4"/>
  <c r="E33" i="4" s="1"/>
  <c r="E13" i="4"/>
  <c r="E32" i="4" s="1"/>
  <c r="E12" i="4"/>
  <c r="E31" i="4" s="1"/>
  <c r="E11" i="4"/>
  <c r="E10" i="4"/>
  <c r="E9" i="4"/>
  <c r="E8" i="4"/>
  <c r="E27" i="4" s="1"/>
  <c r="E7" i="4"/>
  <c r="E26" i="4" s="1"/>
  <c r="E6" i="4"/>
  <c r="E5" i="4"/>
  <c r="G4" i="4"/>
  <c r="G23" i="4" s="1"/>
  <c r="E4" i="4"/>
  <c r="E23" i="4" s="1"/>
  <c r="C26" i="2"/>
  <c r="C8" i="2"/>
  <c r="C17" i="2"/>
  <c r="H17" i="5" l="1"/>
  <c r="H36" i="5"/>
  <c r="H10" i="4"/>
  <c r="H9" i="4"/>
  <c r="H6" i="4"/>
  <c r="H5" i="4"/>
  <c r="C25" i="3"/>
  <c r="D30" i="3" s="1"/>
  <c r="M9" i="6"/>
  <c r="H34" i="4"/>
  <c r="H26" i="4"/>
  <c r="P5" i="5"/>
  <c r="O5" i="5"/>
  <c r="L5" i="5"/>
  <c r="N5" i="5"/>
  <c r="M5" i="5"/>
  <c r="G36" i="4"/>
  <c r="C4" i="3" s="1"/>
  <c r="H27" i="4"/>
  <c r="H31" i="4"/>
  <c r="H33" i="4"/>
  <c r="H7" i="4"/>
  <c r="H13" i="4"/>
  <c r="E24" i="4"/>
  <c r="H24" i="4" s="1"/>
  <c r="E28" i="4"/>
  <c r="H28" i="4" s="1"/>
  <c r="E17" i="4"/>
  <c r="H4" i="4"/>
  <c r="H8" i="4"/>
  <c r="H14" i="4"/>
  <c r="E25" i="4"/>
  <c r="H25" i="4" s="1"/>
  <c r="E29" i="4"/>
  <c r="H29" i="4" s="1"/>
  <c r="H11" i="4"/>
  <c r="H15" i="4"/>
  <c r="E30" i="4"/>
  <c r="H30" i="4" s="1"/>
  <c r="H12" i="4"/>
  <c r="G17" i="4"/>
  <c r="H23" i="4"/>
  <c r="H17" i="4" l="1"/>
  <c r="C8" i="3" s="1"/>
  <c r="C17" i="3" s="1"/>
  <c r="H36" i="4"/>
  <c r="C16" i="3" s="1"/>
  <c r="O4" i="5"/>
  <c r="N4" i="5"/>
  <c r="N7" i="5" s="1"/>
  <c r="M4" i="5"/>
  <c r="L4" i="5"/>
  <c r="P4" i="5"/>
  <c r="O10" i="5"/>
  <c r="N10" i="5"/>
  <c r="P10" i="5"/>
  <c r="M10" i="5"/>
  <c r="L10" i="5"/>
  <c r="C7" i="3"/>
  <c r="C44" i="3" s="1"/>
  <c r="D46" i="3" s="1"/>
  <c r="E36" i="4"/>
  <c r="C3" i="3" s="1"/>
  <c r="M7" i="5" l="1"/>
  <c r="O7" i="5"/>
  <c r="P7" i="5"/>
  <c r="C9" i="3"/>
  <c r="D18" i="3"/>
  <c r="D48" i="3" s="1"/>
  <c r="D50" i="3" s="1"/>
  <c r="D52" i="3" s="1"/>
  <c r="L7" i="5"/>
  <c r="D11" i="3"/>
  <c r="D54" i="3" l="1"/>
</calcChain>
</file>

<file path=xl/sharedStrings.xml><?xml version="1.0" encoding="utf-8"?>
<sst xmlns="http://schemas.openxmlformats.org/spreadsheetml/2006/main" count="356" uniqueCount="111">
  <si>
    <t>Café income: Sit-in</t>
  </si>
  <si>
    <t>Café Income: Take-Away</t>
  </si>
  <si>
    <t>FLS office rental</t>
  </si>
  <si>
    <t>Event Hire</t>
  </si>
  <si>
    <t>Visitor Donations</t>
  </si>
  <si>
    <t>TOTAL </t>
  </si>
  <si>
    <t>EXPENDITURE </t>
  </si>
  <si>
    <t>Café Operations</t>
  </si>
  <si>
    <t>EPOS and Merchant Services</t>
  </si>
  <si>
    <t>Branding, Marketing and Advertising</t>
  </si>
  <si>
    <t>Staffing</t>
  </si>
  <si>
    <t>Staff Training</t>
  </si>
  <si>
    <t>Loan Repayments</t>
  </si>
  <si>
    <t>Building</t>
  </si>
  <si>
    <t>Buildings insurance</t>
  </si>
  <si>
    <t>Electricity</t>
  </si>
  <si>
    <t>Alarms</t>
  </si>
  <si>
    <t>Rates</t>
  </si>
  <si>
    <t>Professional fees</t>
  </si>
  <si>
    <t>CAPITAL COSTS</t>
  </si>
  <si>
    <t>Site Purchase</t>
  </si>
  <si>
    <t>Expenditure</t>
  </si>
  <si>
    <t>Equipment</t>
  </si>
  <si>
    <t>Decoration</t>
  </si>
  <si>
    <t>Income</t>
  </si>
  <si>
    <t xml:space="preserve">SIS Loan </t>
  </si>
  <si>
    <t xml:space="preserve">HOIL Loan </t>
  </si>
  <si>
    <t>Total</t>
  </si>
  <si>
    <t>Waste collection</t>
  </si>
  <si>
    <t>Fundraising</t>
  </si>
  <si>
    <t>£</t>
  </si>
  <si>
    <t>Equipment (see note)</t>
  </si>
  <si>
    <t>Coffee machine</t>
  </si>
  <si>
    <t>Hotplate/Presentation</t>
  </si>
  <si>
    <t>FOOTFALL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</si>
  <si>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</si>
  <si>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</si>
  <si>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</si>
  <si>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</si>
  <si>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</si>
  <si>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</si>
  <si>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</si>
  <si>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</si>
  <si>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</si>
  <si>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</si>
  <si>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</si>
  <si>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</si>
  <si>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</si>
  <si>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Sit-in</t>
  </si>
  <si>
    <t>Carry out</t>
  </si>
  <si>
    <t>Notes</t>
  </si>
  <si>
    <t>INCOME</t>
  </si>
  <si>
    <t>Days</t>
  </si>
  <si>
    <t>Per day</t>
  </si>
  <si>
    <t>£ p.c.</t>
  </si>
  <si>
    <t>Total £</t>
  </si>
  <si>
    <t xml:space="preserve">Car park </t>
  </si>
  <si>
    <t>Telecoms - Phone/Wi-fi</t>
  </si>
  <si>
    <t>Café Manager - FTE</t>
  </si>
  <si>
    <t>SIS</t>
  </si>
  <si>
    <t>HOIL</t>
  </si>
  <si>
    <t>LPG - Gas</t>
  </si>
  <si>
    <t>Water (borehole maintenance)</t>
  </si>
  <si>
    <t>HIE Grant</t>
  </si>
  <si>
    <t>Grants - misc.</t>
  </si>
  <si>
    <t>Alarm System</t>
  </si>
  <si>
    <t>Crockery/Cutlery</t>
  </si>
  <si>
    <t>Cleaning</t>
  </si>
  <si>
    <t>Café Host x 5 PTE</t>
  </si>
  <si>
    <t>SUB TOTAL </t>
  </si>
  <si>
    <t>Contingency</t>
  </si>
  <si>
    <t>Income above (below) expenditure</t>
  </si>
  <si>
    <t>less 10%</t>
  </si>
  <si>
    <t>less 5%</t>
  </si>
  <si>
    <t>budget</t>
  </si>
  <si>
    <t>5% more</t>
  </si>
  <si>
    <t>10% more</t>
  </si>
  <si>
    <t>Café</t>
  </si>
  <si>
    <t>Sit In</t>
  </si>
  <si>
    <t>SENSITIVITY SUMMARY</t>
  </si>
  <si>
    <t>Footfall</t>
  </si>
  <si>
    <t>LESS 10%</t>
  </si>
  <si>
    <t>LESS 5%</t>
  </si>
  <si>
    <t>5% MORE</t>
  </si>
  <si>
    <t>10% MORE</t>
  </si>
  <si>
    <t>BREAKEVEN POINT</t>
  </si>
  <si>
    <t>STAFFING</t>
  </si>
  <si>
    <t>Salary</t>
  </si>
  <si>
    <t>NI</t>
  </si>
  <si>
    <t>Pension</t>
  </si>
  <si>
    <t>Holiday</t>
  </si>
  <si>
    <t>Salary Total</t>
  </si>
  <si>
    <t>No.</t>
  </si>
  <si>
    <t>Café Supervisor - FTE</t>
  </si>
  <si>
    <t>Cafe Host - FTE</t>
  </si>
  <si>
    <t>Café Host - PTE</t>
  </si>
  <si>
    <t>Café Manager</t>
  </si>
  <si>
    <t>Café Supervisor x 2</t>
  </si>
  <si>
    <t xml:space="preserve">Cafe Host </t>
  </si>
  <si>
    <t>NI @ 13.8% of gross wage above £9,100 p.a.</t>
  </si>
  <si>
    <t>Pension @ 3% of gross wage above £6,240 p.a.</t>
  </si>
  <si>
    <t>Holiday pay @ 3% of gross wage</t>
  </si>
  <si>
    <t>PTE hours @ 50% of FTE</t>
  </si>
  <si>
    <t>Staff Training @ £350 p.p.p.a</t>
  </si>
  <si>
    <t>Car park maintenance</t>
  </si>
  <si>
    <t>Retail</t>
  </si>
  <si>
    <t>Cost of Sales - retail</t>
  </si>
  <si>
    <t>Cost of Sales - food</t>
  </si>
  <si>
    <t>Café Host at Living Wage of £12 p.h. (assuming 40 hour week, including 2.5 hours of breaks)</t>
  </si>
  <si>
    <t>c.48,000 visitors</t>
  </si>
  <si>
    <t>c. £550,000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</si>
</sst>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 (Body)"/>
    </font>
    <font>
      <b/>
      <u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0" fontId="5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4" fontId="6" fillId="0" borderId="0" xfId="0" applyNumberFormat="1" applyFont="1" applyAlignment="1">
      <alignment horizontal="center"/>
    </xf>
    <xf numFmtId="3" fontId="8" fillId="0" borderId="0" xfId="0" applyNumberFormat="1" applyFont="1"/>
    <xf numFmtId="0" fontId="8" fillId="0" borderId="0" xfId="0" applyFont="1"/>
    <xf numFmtId="3" fontId="2" fillId="0" borderId="0" xfId="0" applyNumberFormat="1" applyFont="1" applyAlignment="1">
      <alignment horizontal="center"/>
    </xf>
    <xf numFmtId="4" fontId="9" fillId="0" borderId="0" xfId="0" applyNumberFormat="1" applyFont="1"/>
    <xf numFmtId="4" fontId="10" fillId="0" borderId="0" xfId="0" applyNumberFormat="1" applyFont="1"/>
    <xf numFmtId="4" fontId="11" fillId="0" borderId="0" xfId="0" applyNumberFormat="1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46516-7F72-0E43-92E4-0E5589CC8FF4}">
  <dimension ref="A1:D54"/>
  <sheetViews>
    <sheetView tabSelected="1" zoomScaleNormal="100" workbookViewId="0">
      <selection activeCell="A13" sqref="A13"/>
    </sheetView>
  </sheetViews>
  <sheetFormatPr defaultColWidth="10.796875" defaultRowHeight="14.4"/>
  <cols>
    <col min="1" max="1" width="29" style="1" customWidth="1"/>
    <col min="2" max="2" width="1.296875" style="1" customWidth="1"/>
    <col min="3" max="16384" width="10.796875" style="1"/>
  </cols>
  <sheetData>
    <row r="1" spans="1:4">
      <c r="A1" s="8" t="s">
        <v>51</v>
      </c>
      <c r="C1" s="10" t="s">
        <v>30</v>
      </c>
      <c r="D1" s="10" t="s">
        <v>30</v>
      </c>
    </row>
    <row r="3" spans="1:4">
      <c r="A3" s="1" t="s">
        <v>0</v>
      </c>
      <c r="C3" s="3">
        <f>Footfall!E36</f>
        <v>330175</v>
      </c>
    </row>
    <row r="4" spans="1:4">
      <c r="A4" s="1" t="s">
        <v>1</v>
      </c>
      <c r="C4" s="3">
        <f>Footfall!G36</f>
        <v>170072.5</v>
      </c>
    </row>
    <row r="5" spans="1:4">
      <c r="A5" s="1" t="s">
        <v>2</v>
      </c>
      <c r="C5" s="3">
        <v>7860</v>
      </c>
    </row>
    <row r="6" spans="1:4">
      <c r="A6" s="1" t="s">
        <v>3</v>
      </c>
      <c r="C6" s="3">
        <v>2000</v>
      </c>
    </row>
    <row r="7" spans="1:4">
      <c r="A7" s="1" t="s">
        <v>56</v>
      </c>
      <c r="C7" s="3">
        <f>Footfall!H17*1.1</f>
        <v>53185.000000000007</v>
      </c>
    </row>
    <row r="8" spans="1:4">
      <c r="A8" s="1" t="s">
        <v>105</v>
      </c>
      <c r="C8" s="3">
        <f>Footfall!H17*0.75</f>
        <v>36262.5</v>
      </c>
    </row>
    <row r="9" spans="1:4">
      <c r="A9" s="1" t="s">
        <v>4</v>
      </c>
      <c r="C9" s="3">
        <f>Footfall!H17*0.3</f>
        <v>14505</v>
      </c>
    </row>
    <row r="10" spans="1:4" ht="4.95" customHeight="1">
      <c r="C10" s="3"/>
    </row>
    <row r="11" spans="1:4">
      <c r="A11" s="5" t="s">
        <v>5</v>
      </c>
      <c r="C11" s="7"/>
      <c r="D11" s="7">
        <f>SUM(C3:C9)</f>
        <v>614060</v>
      </c>
    </row>
    <row r="12" spans="1:4">
      <c r="A12" s="5"/>
      <c r="C12" s="7"/>
      <c r="D12" s="7"/>
    </row>
    <row r="13" spans="1:4">
      <c r="A13" s="5"/>
      <c r="C13" s="7"/>
    </row>
    <row r="14" spans="1:4">
      <c r="A14" s="8" t="s">
        <v>6</v>
      </c>
      <c r="C14" s="18" t="s">
        <v>30</v>
      </c>
      <c r="D14" s="10" t="s">
        <v>30</v>
      </c>
    </row>
    <row r="15" spans="1:4">
      <c r="A15" s="8"/>
      <c r="C15" s="3"/>
    </row>
    <row r="16" spans="1:4">
      <c r="A16" s="1" t="s">
        <v>107</v>
      </c>
      <c r="C16" s="3">
        <f>Footfall!H36*30%</f>
        <v>150074.25</v>
      </c>
    </row>
    <row r="17" spans="1:4">
      <c r="A17" s="1" t="s">
        <v>106</v>
      </c>
      <c r="C17" s="3">
        <f>SUM(C8)*35%</f>
        <v>12691.875</v>
      </c>
    </row>
    <row r="18" spans="1:4">
      <c r="C18" s="3"/>
      <c r="D18" s="3">
        <f>SUM(C16:C17)</f>
        <v>162766.125</v>
      </c>
    </row>
    <row r="19" spans="1:4">
      <c r="A19" s="5" t="s">
        <v>7</v>
      </c>
      <c r="C19" s="3"/>
    </row>
    <row r="20" spans="1:4">
      <c r="A20" s="1" t="s">
        <v>8</v>
      </c>
      <c r="C20" s="3">
        <v>4500</v>
      </c>
    </row>
    <row r="21" spans="1:4">
      <c r="A21" s="1" t="s">
        <v>57</v>
      </c>
      <c r="C21" s="3">
        <v>1200</v>
      </c>
    </row>
    <row r="22" spans="1:4">
      <c r="A22" s="1" t="s">
        <v>9</v>
      </c>
      <c r="C22" s="3">
        <v>9600</v>
      </c>
    </row>
    <row r="23" spans="1:4">
      <c r="C23" s="3"/>
      <c r="D23" s="3">
        <f>SUM(C20:C22)</f>
        <v>15300</v>
      </c>
    </row>
    <row r="24" spans="1:4">
      <c r="A24" s="5" t="s">
        <v>10</v>
      </c>
      <c r="C24" s="3"/>
    </row>
    <row r="25" spans="1:4">
      <c r="A25" s="1" t="s">
        <v>96</v>
      </c>
      <c r="C25" s="3">
        <f>Staff!M3</f>
        <v>42048.324800000002</v>
      </c>
    </row>
    <row r="26" spans="1:4">
      <c r="A26" s="1" t="s">
        <v>97</v>
      </c>
      <c r="C26" s="3">
        <f>Staff!M4</f>
        <v>57413.133000000002</v>
      </c>
    </row>
    <row r="27" spans="1:4">
      <c r="A27" s="1" t="s">
        <v>98</v>
      </c>
      <c r="C27" s="3">
        <f>Staff!M5</f>
        <v>31991.309999999998</v>
      </c>
    </row>
    <row r="28" spans="1:4">
      <c r="A28" s="1" t="s">
        <v>68</v>
      </c>
      <c r="C28" s="3">
        <f>Staff!M6</f>
        <v>81418.638000000006</v>
      </c>
    </row>
    <row r="29" spans="1:4">
      <c r="A29" s="1" t="s">
        <v>11</v>
      </c>
      <c r="C29" s="3">
        <f>Staff!M7</f>
        <v>2975</v>
      </c>
    </row>
    <row r="30" spans="1:4">
      <c r="C30" s="3"/>
      <c r="D30" s="3">
        <f>SUM(C25:C29)</f>
        <v>215846.40580000001</v>
      </c>
    </row>
    <row r="31" spans="1:4">
      <c r="A31" s="5" t="s">
        <v>12</v>
      </c>
      <c r="C31" s="3"/>
    </row>
    <row r="32" spans="1:4">
      <c r="A32" s="1" t="s">
        <v>59</v>
      </c>
      <c r="C32" s="3">
        <v>22800</v>
      </c>
    </row>
    <row r="33" spans="1:4">
      <c r="A33" s="1" t="s">
        <v>60</v>
      </c>
      <c r="C33" s="3">
        <v>5400</v>
      </c>
    </row>
    <row r="34" spans="1:4">
      <c r="C34" s="3"/>
      <c r="D34" s="3">
        <f>SUM(C32:C33)</f>
        <v>28200</v>
      </c>
    </row>
    <row r="35" spans="1:4">
      <c r="A35" s="5" t="s">
        <v>13</v>
      </c>
      <c r="C35" s="3"/>
    </row>
    <row r="36" spans="1:4">
      <c r="A36" s="1" t="s">
        <v>14</v>
      </c>
      <c r="C36" s="3">
        <v>8400</v>
      </c>
    </row>
    <row r="37" spans="1:4">
      <c r="A37" s="1" t="s">
        <v>61</v>
      </c>
      <c r="C37" s="3">
        <v>12000</v>
      </c>
    </row>
    <row r="38" spans="1:4">
      <c r="A38" s="1" t="s">
        <v>62</v>
      </c>
      <c r="C38" s="3">
        <v>11400</v>
      </c>
    </row>
    <row r="39" spans="1:4">
      <c r="A39" s="1" t="s">
        <v>15</v>
      </c>
      <c r="C39" s="3">
        <v>36000</v>
      </c>
    </row>
    <row r="40" spans="1:4">
      <c r="A40" s="1" t="s">
        <v>16</v>
      </c>
      <c r="C40" s="3">
        <v>600</v>
      </c>
    </row>
    <row r="41" spans="1:4">
      <c r="A41" s="1" t="s">
        <v>67</v>
      </c>
      <c r="C41" s="3">
        <v>1600</v>
      </c>
    </row>
    <row r="42" spans="1:4">
      <c r="A42" s="1" t="s">
        <v>17</v>
      </c>
      <c r="C42" s="3">
        <v>13800</v>
      </c>
    </row>
    <row r="43" spans="1:4">
      <c r="A43" s="1" t="s">
        <v>28</v>
      </c>
      <c r="C43" s="3">
        <v>6000</v>
      </c>
    </row>
    <row r="44" spans="1:4">
      <c r="A44" s="1" t="s">
        <v>104</v>
      </c>
      <c r="C44" s="3">
        <f>SUM(C7)*50%</f>
        <v>26592.500000000004</v>
      </c>
    </row>
    <row r="45" spans="1:4">
      <c r="A45" s="1" t="s">
        <v>18</v>
      </c>
      <c r="C45" s="3">
        <v>5500</v>
      </c>
    </row>
    <row r="46" spans="1:4">
      <c r="C46" s="3"/>
      <c r="D46" s="3">
        <f>SUM(C36:C45)</f>
        <v>121892.5</v>
      </c>
    </row>
    <row r="47" spans="1:4" ht="6" customHeight="1">
      <c r="C47" s="3"/>
    </row>
    <row r="48" spans="1:4">
      <c r="A48" s="1" t="s">
        <v>69</v>
      </c>
      <c r="C48" s="7"/>
      <c r="D48" s="3">
        <f>SUM(D18:D47)</f>
        <v>544005.03080000007</v>
      </c>
    </row>
    <row r="49" spans="1:4" ht="4.95" customHeight="1">
      <c r="A49" s="5"/>
      <c r="C49" s="7"/>
      <c r="D49" s="7"/>
    </row>
    <row r="50" spans="1:4">
      <c r="A50" s="1" t="s">
        <v>70</v>
      </c>
      <c r="C50" s="7"/>
      <c r="D50" s="3">
        <f>SUM(D48)*5%</f>
        <v>27200.251540000005</v>
      </c>
    </row>
    <row r="51" spans="1:4" ht="6" customHeight="1">
      <c r="A51" s="5"/>
      <c r="C51" s="7"/>
      <c r="D51" s="7"/>
    </row>
    <row r="52" spans="1:4">
      <c r="A52" s="5" t="s">
        <v>47</v>
      </c>
      <c r="C52" s="7"/>
      <c r="D52" s="7">
        <f>SUM(D48)+D50</f>
        <v>571205.28234000003</v>
      </c>
    </row>
    <row r="53" spans="1:4">
      <c r="C53" s="3"/>
    </row>
    <row r="54" spans="1:4">
      <c r="A54" s="17" t="s">
        <v>71</v>
      </c>
      <c r="C54" s="3"/>
      <c r="D54" s="16">
        <f>SUM(D11)-D52</f>
        <v>42854.717659999966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4035F-985F-FA44-933F-01F2407F9231}">
  <dimension ref="A1:M18"/>
  <sheetViews>
    <sheetView zoomScaleNormal="100" workbookViewId="0">
      <selection activeCell="A13" sqref="A13"/>
    </sheetView>
  </sheetViews>
  <sheetFormatPr defaultColWidth="10.796875" defaultRowHeight="14.4"/>
  <cols>
    <col min="1" max="1" width="18" style="1" customWidth="1"/>
    <col min="2" max="2" width="1" style="1" customWidth="1"/>
    <col min="3" max="3" width="4.19921875" style="1" customWidth="1"/>
    <col min="4" max="4" width="0.796875" style="1" customWidth="1"/>
    <col min="5" max="5" width="10.796875" style="1"/>
    <col min="6" max="6" width="0.796875" style="1" customWidth="1"/>
    <col min="7" max="7" width="10.796875" style="1" customWidth="1"/>
    <col min="8" max="8" width="0.69921875" style="1" customWidth="1"/>
    <col min="9" max="9" width="8.5" style="1" customWidth="1"/>
    <col min="10" max="10" width="9.296875" style="1" customWidth="1"/>
    <col min="11" max="11" width="8.296875" style="1" customWidth="1"/>
    <col min="12" max="12" width="0.69921875" style="1" customWidth="1"/>
    <col min="13" max="13" width="9.69921875" style="1" customWidth="1"/>
    <col min="14" max="16384" width="10.796875" style="1"/>
  </cols>
  <sheetData>
    <row r="1" spans="1:13">
      <c r="A1" s="5" t="s">
        <v>86</v>
      </c>
    </row>
    <row r="2" spans="1:13">
      <c r="A2" s="5"/>
      <c r="C2" s="22" t="s">
        <v>92</v>
      </c>
      <c r="D2" s="22"/>
      <c r="E2" s="23" t="s">
        <v>87</v>
      </c>
      <c r="F2" s="22"/>
      <c r="G2" s="22" t="s">
        <v>91</v>
      </c>
      <c r="H2" s="22"/>
      <c r="I2" s="22" t="s">
        <v>88</v>
      </c>
      <c r="J2" s="22" t="s">
        <v>89</v>
      </c>
      <c r="K2" s="22" t="s">
        <v>90</v>
      </c>
      <c r="L2" s="22"/>
      <c r="M2" s="24" t="s">
        <v>47</v>
      </c>
    </row>
    <row r="3" spans="1:13">
      <c r="A3" s="1" t="s">
        <v>58</v>
      </c>
      <c r="C3" s="1">
        <v>1</v>
      </c>
      <c r="E3" s="3">
        <v>32764</v>
      </c>
      <c r="G3" s="3">
        <f>SUM(C3*E3)</f>
        <v>32764</v>
      </c>
      <c r="H3" s="3"/>
      <c r="I3" s="3">
        <f>SUM(G3-9,100)*13.8%</f>
        <v>4533.9900000000007</v>
      </c>
      <c r="J3" s="3">
        <f>SUM(G3-6240)*3%</f>
        <v>795.72</v>
      </c>
      <c r="K3" s="3">
        <f>SUM(G3)*12.07%</f>
        <v>3954.6147999999998</v>
      </c>
      <c r="L3" s="3"/>
      <c r="M3" s="3">
        <f>SUM(G3:L3)</f>
        <v>42048.324800000002</v>
      </c>
    </row>
    <row r="4" spans="1:13">
      <c r="A4" s="1" t="s">
        <v>93</v>
      </c>
      <c r="C4" s="1">
        <v>1.5</v>
      </c>
      <c r="E4" s="3">
        <v>28320</v>
      </c>
      <c r="G4" s="3">
        <f>SUM(C4*E4)</f>
        <v>42480</v>
      </c>
      <c r="H4" s="3"/>
      <c r="I4" s="3">
        <f>SUM(G4-9,100)*13.8%*C4</f>
        <v>8812.1970000000001</v>
      </c>
      <c r="J4" s="3">
        <f>SUM(E4-6240)*3%*C4</f>
        <v>993.59999999999991</v>
      </c>
      <c r="K4" s="3">
        <f>SUM(G4)*12.07%</f>
        <v>5127.3360000000002</v>
      </c>
      <c r="L4" s="3"/>
      <c r="M4" s="3">
        <f>SUM(G4:L4)</f>
        <v>57413.133000000002</v>
      </c>
    </row>
    <row r="5" spans="1:13">
      <c r="A5" s="1" t="s">
        <v>94</v>
      </c>
      <c r="C5" s="1">
        <v>1</v>
      </c>
      <c r="E5" s="3">
        <v>24960</v>
      </c>
      <c r="G5" s="3">
        <f>SUM(C5*E5)</f>
        <v>24960</v>
      </c>
      <c r="H5" s="3"/>
      <c r="I5" s="3">
        <f>SUM(G5-9,100)*13.8%</f>
        <v>3457.0380000000005</v>
      </c>
      <c r="J5" s="3">
        <f>SUM(E5-6240)*3%</f>
        <v>561.6</v>
      </c>
      <c r="K5" s="3">
        <f>SUM(G5)*12.07%</f>
        <v>3012.672</v>
      </c>
      <c r="L5" s="3"/>
      <c r="M5" s="3">
        <f>SUM(G5:K5)</f>
        <v>31991.309999999998</v>
      </c>
    </row>
    <row r="6" spans="1:13">
      <c r="A6" s="1" t="s">
        <v>95</v>
      </c>
      <c r="C6" s="1">
        <v>5</v>
      </c>
      <c r="E6" s="3">
        <v>24960</v>
      </c>
      <c r="G6" s="3">
        <f>SUM(C6*E6)*0.5</f>
        <v>62400</v>
      </c>
      <c r="H6" s="3"/>
      <c r="I6" s="3">
        <f>SUM(G6 - 9,100*5)*13.8%</f>
        <v>8678.9580000000005</v>
      </c>
      <c r="J6" s="3">
        <f>SUM(E6-6240)*3%*C6</f>
        <v>2808</v>
      </c>
      <c r="K6" s="3">
        <f>SUM(G6)*12.07%</f>
        <v>7531.68</v>
      </c>
      <c r="L6" s="3"/>
      <c r="M6" s="3">
        <f>SUM(G6:K6)</f>
        <v>81418.638000000006</v>
      </c>
    </row>
    <row r="7" spans="1:13">
      <c r="A7" s="1" t="s">
        <v>11</v>
      </c>
      <c r="C7" s="1">
        <f>SUM(C3:C6)</f>
        <v>8.5</v>
      </c>
      <c r="E7" s="3">
        <v>350</v>
      </c>
      <c r="G7" s="3">
        <f>SUM(C7*E7)</f>
        <v>2975</v>
      </c>
      <c r="H7" s="3"/>
      <c r="I7" s="3"/>
      <c r="J7" s="3"/>
      <c r="K7" s="3"/>
      <c r="L7" s="3"/>
      <c r="M7" s="3">
        <f>SUM(G7)</f>
        <v>2975</v>
      </c>
    </row>
    <row r="8" spans="1:13" ht="6" customHeight="1"/>
    <row r="9" spans="1:13">
      <c r="A9" s="5" t="s">
        <v>47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7">
        <f>SUM(M3:M7)</f>
        <v>215846.40580000001</v>
      </c>
    </row>
    <row r="12" spans="1:13">
      <c r="A12" s="8" t="s">
        <v>50</v>
      </c>
    </row>
    <row r="13" spans="1:13">
      <c r="A13" s="1" t="s">
        <v>108</v>
      </c>
    </row>
    <row r="14" spans="1:13">
      <c r="A14" s="1" t="s">
        <v>102</v>
      </c>
    </row>
    <row r="15" spans="1:13">
      <c r="A15" s="1" t="s">
        <v>99</v>
      </c>
    </row>
    <row r="16" spans="1:13">
      <c r="A16" s="1" t="s">
        <v>100</v>
      </c>
    </row>
    <row r="17" spans="1:1">
      <c r="A17" s="1" t="s">
        <v>101</v>
      </c>
    </row>
    <row r="18" spans="1:1">
      <c r="A18" s="1" t="s">
        <v>103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03445-8C77-0140-8ABC-A8804C945AB6}">
  <dimension ref="A1:H36"/>
  <sheetViews>
    <sheetView topLeftCell="A18" zoomScaleNormal="100" workbookViewId="0">
      <selection activeCell="A20" sqref="A20:H36"/>
    </sheetView>
  </sheetViews>
  <sheetFormatPr defaultColWidth="10.796875" defaultRowHeight="15.6"/>
  <cols>
    <col min="1" max="1" width="10.796875" style="14"/>
    <col min="2" max="2" width="1.296875" style="14" customWidth="1"/>
    <col min="3" max="3" width="5.19921875" style="14" customWidth="1"/>
    <col min="4" max="4" width="7" style="14" customWidth="1"/>
    <col min="5" max="5" width="8.5" style="14" customWidth="1"/>
    <col min="6" max="6" width="7.19921875" style="14" customWidth="1"/>
    <col min="7" max="7" width="9.796875" style="14" customWidth="1"/>
    <col min="8" max="8" width="10.796875" style="14"/>
    <col min="9" max="9" width="0.796875" style="14" customWidth="1"/>
    <col min="10" max="10" width="25.19921875" style="14" customWidth="1"/>
    <col min="11" max="16384" width="10.796875" style="14"/>
  </cols>
  <sheetData>
    <row r="1" spans="1:8">
      <c r="A1" s="13" t="s">
        <v>34</v>
      </c>
    </row>
    <row r="2" spans="1:8" ht="7.95" customHeight="1"/>
    <row r="3" spans="1:8" ht="15" customHeight="1">
      <c r="C3" s="15" t="s">
        <v>52</v>
      </c>
      <c r="D3" s="15" t="s">
        <v>53</v>
      </c>
      <c r="E3" s="15" t="s">
        <v>48</v>
      </c>
      <c r="F3" s="15" t="s">
        <v>53</v>
      </c>
      <c r="G3" s="15" t="s">
        <v>49</v>
      </c>
      <c r="H3" s="15" t="s">
        <v>27</v>
      </c>
    </row>
    <row r="4" spans="1:8">
      <c r="A4" s="14" t="s">
        <v>35</v>
      </c>
      <c r="C4" s="2">
        <v>30</v>
      </c>
      <c r="D4" s="2">
        <v>50</v>
      </c>
      <c r="E4" s="2">
        <f>SUM(C4)*D4</f>
        <v>1500</v>
      </c>
      <c r="F4" s="2">
        <v>35</v>
      </c>
      <c r="G4" s="2">
        <f>SUM(C4)*F4</f>
        <v>1050</v>
      </c>
      <c r="H4" s="2">
        <f>SUM(E4:G4)</f>
        <v>2585</v>
      </c>
    </row>
    <row r="5" spans="1:8">
      <c r="A5" s="14" t="s">
        <v>36</v>
      </c>
      <c r="C5" s="2">
        <v>28</v>
      </c>
      <c r="D5" s="2">
        <v>60</v>
      </c>
      <c r="E5" s="2">
        <f>SUM(D5*C5)</f>
        <v>1680</v>
      </c>
      <c r="F5" s="2">
        <v>40</v>
      </c>
      <c r="G5" s="2">
        <f t="shared" ref="G5:G15" si="0">SUM(C5*F5)</f>
        <v>1120</v>
      </c>
      <c r="H5" s="2">
        <f t="shared" ref="H5:H15" si="1">SUM(E5+G5)</f>
        <v>2800</v>
      </c>
    </row>
    <row r="6" spans="1:8">
      <c r="A6" s="14" t="s">
        <v>37</v>
      </c>
      <c r="C6" s="2">
        <v>31</v>
      </c>
      <c r="D6" s="2">
        <v>40</v>
      </c>
      <c r="E6" s="2">
        <f t="shared" ref="E6:E15" si="2">SUM(C6*D6)</f>
        <v>1240</v>
      </c>
      <c r="F6" s="2">
        <v>25</v>
      </c>
      <c r="G6" s="2">
        <f t="shared" si="0"/>
        <v>775</v>
      </c>
      <c r="H6" s="2">
        <f t="shared" si="1"/>
        <v>2015</v>
      </c>
    </row>
    <row r="7" spans="1:8">
      <c r="A7" s="14" t="s">
        <v>38</v>
      </c>
      <c r="C7" s="2">
        <v>30</v>
      </c>
      <c r="D7" s="2">
        <v>70</v>
      </c>
      <c r="E7" s="2">
        <f t="shared" si="2"/>
        <v>2100</v>
      </c>
      <c r="F7" s="2">
        <v>50</v>
      </c>
      <c r="G7" s="2">
        <f t="shared" si="0"/>
        <v>1500</v>
      </c>
      <c r="H7" s="2">
        <f t="shared" si="1"/>
        <v>3600</v>
      </c>
    </row>
    <row r="8" spans="1:8">
      <c r="A8" s="14" t="s">
        <v>39</v>
      </c>
      <c r="C8" s="2">
        <v>31</v>
      </c>
      <c r="D8" s="2">
        <v>70</v>
      </c>
      <c r="E8" s="2">
        <f t="shared" si="2"/>
        <v>2170</v>
      </c>
      <c r="F8" s="2">
        <v>50</v>
      </c>
      <c r="G8" s="2">
        <f t="shared" si="0"/>
        <v>1550</v>
      </c>
      <c r="H8" s="2">
        <f t="shared" si="1"/>
        <v>3720</v>
      </c>
    </row>
    <row r="9" spans="1:8">
      <c r="A9" s="14" t="s">
        <v>40</v>
      </c>
      <c r="C9" s="2">
        <v>30</v>
      </c>
      <c r="D9" s="2">
        <v>85</v>
      </c>
      <c r="E9" s="2">
        <f t="shared" si="2"/>
        <v>2550</v>
      </c>
      <c r="F9" s="2">
        <v>60</v>
      </c>
      <c r="G9" s="2">
        <f t="shared" si="0"/>
        <v>1800</v>
      </c>
      <c r="H9" s="2">
        <f t="shared" si="1"/>
        <v>4350</v>
      </c>
    </row>
    <row r="10" spans="1:8">
      <c r="A10" s="14" t="s">
        <v>41</v>
      </c>
      <c r="C10" s="2">
        <v>31</v>
      </c>
      <c r="D10" s="2">
        <v>130</v>
      </c>
      <c r="E10" s="2">
        <f t="shared" si="2"/>
        <v>4030</v>
      </c>
      <c r="F10" s="2">
        <v>100</v>
      </c>
      <c r="G10" s="2">
        <f t="shared" si="0"/>
        <v>3100</v>
      </c>
      <c r="H10" s="2">
        <f t="shared" si="1"/>
        <v>7130</v>
      </c>
    </row>
    <row r="11" spans="1:8">
      <c r="A11" s="14" t="s">
        <v>42</v>
      </c>
      <c r="C11" s="2">
        <v>31</v>
      </c>
      <c r="D11" s="2">
        <v>150</v>
      </c>
      <c r="E11" s="2">
        <f t="shared" si="2"/>
        <v>4650</v>
      </c>
      <c r="F11" s="2">
        <v>110</v>
      </c>
      <c r="G11" s="2">
        <f t="shared" si="0"/>
        <v>3410</v>
      </c>
      <c r="H11" s="2">
        <f t="shared" si="1"/>
        <v>8060</v>
      </c>
    </row>
    <row r="12" spans="1:8">
      <c r="A12" s="14" t="s">
        <v>43</v>
      </c>
      <c r="C12" s="2">
        <v>31</v>
      </c>
      <c r="D12" s="2">
        <v>110</v>
      </c>
      <c r="E12" s="2">
        <f t="shared" si="2"/>
        <v>3410</v>
      </c>
      <c r="F12" s="2">
        <v>70</v>
      </c>
      <c r="G12" s="2">
        <f t="shared" si="0"/>
        <v>2170</v>
      </c>
      <c r="H12" s="2">
        <f t="shared" si="1"/>
        <v>5580</v>
      </c>
    </row>
    <row r="13" spans="1:8">
      <c r="A13" s="14" t="s">
        <v>44</v>
      </c>
      <c r="C13" s="2">
        <v>31</v>
      </c>
      <c r="D13" s="2">
        <v>80</v>
      </c>
      <c r="E13" s="2">
        <f t="shared" si="2"/>
        <v>2480</v>
      </c>
      <c r="F13" s="2">
        <v>50</v>
      </c>
      <c r="G13" s="2">
        <f t="shared" si="0"/>
        <v>1550</v>
      </c>
      <c r="H13" s="2">
        <f t="shared" si="1"/>
        <v>4030</v>
      </c>
    </row>
    <row r="14" spans="1:8">
      <c r="A14" s="14" t="s">
        <v>45</v>
      </c>
      <c r="C14" s="2">
        <v>30</v>
      </c>
      <c r="D14" s="2">
        <v>35</v>
      </c>
      <c r="E14" s="2">
        <f t="shared" si="2"/>
        <v>1050</v>
      </c>
      <c r="F14" s="2">
        <v>35</v>
      </c>
      <c r="G14" s="2">
        <f t="shared" si="0"/>
        <v>1050</v>
      </c>
      <c r="H14" s="2">
        <f t="shared" si="1"/>
        <v>2100</v>
      </c>
    </row>
    <row r="15" spans="1:8">
      <c r="A15" s="14" t="s">
        <v>46</v>
      </c>
      <c r="C15" s="2">
        <v>28</v>
      </c>
      <c r="D15" s="2">
        <v>50</v>
      </c>
      <c r="E15" s="2">
        <f t="shared" si="2"/>
        <v>1400</v>
      </c>
      <c r="F15" s="2">
        <v>35</v>
      </c>
      <c r="G15" s="2">
        <f t="shared" si="0"/>
        <v>980</v>
      </c>
      <c r="H15" s="2">
        <f t="shared" si="1"/>
        <v>2380</v>
      </c>
    </row>
    <row r="16" spans="1:8" ht="4.95" customHeight="1">
      <c r="C16" s="2"/>
      <c r="D16" s="2"/>
      <c r="E16" s="2"/>
      <c r="F16" s="2"/>
      <c r="G16" s="2"/>
      <c r="H16" s="2"/>
    </row>
    <row r="17" spans="1:8">
      <c r="A17" s="13" t="s">
        <v>47</v>
      </c>
      <c r="C17" s="2"/>
      <c r="D17" s="2"/>
      <c r="E17" s="12">
        <f>SUM(E4:E16)</f>
        <v>28260</v>
      </c>
      <c r="F17" s="12"/>
      <c r="G17" s="12">
        <f>SUM(G4:G16)</f>
        <v>20055</v>
      </c>
      <c r="H17" s="4">
        <f>SUM(H4:H16)</f>
        <v>48350</v>
      </c>
    </row>
    <row r="18" spans="1:8">
      <c r="C18" s="2"/>
      <c r="E18" s="2"/>
      <c r="G18" s="2"/>
      <c r="H18" s="2"/>
    </row>
    <row r="19" spans="1:8">
      <c r="C19" s="2"/>
      <c r="E19" s="2"/>
      <c r="G19" s="2"/>
      <c r="H19" s="2"/>
    </row>
    <row r="20" spans="1:8">
      <c r="A20" s="13" t="s">
        <v>51</v>
      </c>
      <c r="C20" s="2"/>
      <c r="E20" s="2"/>
      <c r="G20" s="2"/>
      <c r="H20" s="2"/>
    </row>
    <row r="21" spans="1:8" ht="4.95" customHeight="1">
      <c r="C21" s="2"/>
      <c r="E21" s="2"/>
      <c r="G21" s="2"/>
      <c r="H21" s="2"/>
    </row>
    <row r="22" spans="1:8">
      <c r="C22" s="11"/>
      <c r="D22" s="15" t="s">
        <v>54</v>
      </c>
      <c r="E22" s="11" t="s">
        <v>48</v>
      </c>
      <c r="F22" s="15" t="s">
        <v>54</v>
      </c>
      <c r="G22" s="11" t="s">
        <v>49</v>
      </c>
      <c r="H22" s="11" t="s">
        <v>55</v>
      </c>
    </row>
    <row r="23" spans="1:8">
      <c r="A23" s="14" t="s">
        <v>35</v>
      </c>
      <c r="C23" s="2"/>
      <c r="D23" s="14">
        <v>11</v>
      </c>
      <c r="E23" s="2">
        <f t="shared" ref="E23:E34" si="3">SUM(D23*E4)</f>
        <v>16500</v>
      </c>
      <c r="F23" s="14">
        <v>8</v>
      </c>
      <c r="G23" s="2">
        <f>SUM(G4*F23)</f>
        <v>8400</v>
      </c>
      <c r="H23" s="2">
        <f t="shared" ref="H23:H34" si="4">SUM(E23+G23)</f>
        <v>24900</v>
      </c>
    </row>
    <row r="24" spans="1:8">
      <c r="A24" s="14" t="s">
        <v>36</v>
      </c>
      <c r="C24" s="2"/>
      <c r="D24" s="14">
        <v>11</v>
      </c>
      <c r="E24" s="2">
        <f t="shared" si="3"/>
        <v>18480</v>
      </c>
      <c r="F24" s="14">
        <v>8</v>
      </c>
      <c r="G24" s="2">
        <f t="shared" ref="G24:G34" si="5">SUM(F24*G5)</f>
        <v>8960</v>
      </c>
      <c r="H24" s="2">
        <f t="shared" si="4"/>
        <v>27440</v>
      </c>
    </row>
    <row r="25" spans="1:8">
      <c r="A25" s="14" t="s">
        <v>37</v>
      </c>
      <c r="C25" s="2"/>
      <c r="D25" s="14">
        <v>9.5</v>
      </c>
      <c r="E25" s="2">
        <f t="shared" si="3"/>
        <v>11780</v>
      </c>
      <c r="F25" s="14">
        <v>6.5</v>
      </c>
      <c r="G25" s="2">
        <f t="shared" si="5"/>
        <v>5037.5</v>
      </c>
      <c r="H25" s="2">
        <f t="shared" si="4"/>
        <v>16817.5</v>
      </c>
    </row>
    <row r="26" spans="1:8">
      <c r="A26" s="14" t="s">
        <v>38</v>
      </c>
      <c r="C26" s="2"/>
      <c r="D26" s="14">
        <v>12</v>
      </c>
      <c r="E26" s="2">
        <f t="shared" si="3"/>
        <v>25200</v>
      </c>
      <c r="F26" s="14">
        <v>8.5</v>
      </c>
      <c r="G26" s="2">
        <f t="shared" si="5"/>
        <v>12750</v>
      </c>
      <c r="H26" s="2">
        <f t="shared" si="4"/>
        <v>37950</v>
      </c>
    </row>
    <row r="27" spans="1:8">
      <c r="A27" s="14" t="s">
        <v>39</v>
      </c>
      <c r="C27" s="2"/>
      <c r="D27" s="14">
        <v>11.5</v>
      </c>
      <c r="E27" s="2">
        <f t="shared" si="3"/>
        <v>24955</v>
      </c>
      <c r="F27" s="14">
        <v>8.5</v>
      </c>
      <c r="G27" s="2">
        <f t="shared" si="5"/>
        <v>13175</v>
      </c>
      <c r="H27" s="2">
        <f t="shared" si="4"/>
        <v>38130</v>
      </c>
    </row>
    <row r="28" spans="1:8">
      <c r="A28" s="14" t="s">
        <v>40</v>
      </c>
      <c r="C28" s="2"/>
      <c r="D28" s="14">
        <v>12</v>
      </c>
      <c r="E28" s="2">
        <f t="shared" si="3"/>
        <v>30600</v>
      </c>
      <c r="F28" s="14">
        <v>8.5</v>
      </c>
      <c r="G28" s="2">
        <f t="shared" si="5"/>
        <v>15300</v>
      </c>
      <c r="H28" s="2">
        <f t="shared" si="4"/>
        <v>45900</v>
      </c>
    </row>
    <row r="29" spans="1:8">
      <c r="A29" s="14" t="s">
        <v>41</v>
      </c>
      <c r="C29" s="2"/>
      <c r="D29" s="14">
        <v>12.5</v>
      </c>
      <c r="E29" s="2">
        <f t="shared" si="3"/>
        <v>50375</v>
      </c>
      <c r="F29" s="14">
        <v>9</v>
      </c>
      <c r="G29" s="2">
        <f t="shared" si="5"/>
        <v>27900</v>
      </c>
      <c r="H29" s="2">
        <f t="shared" si="4"/>
        <v>78275</v>
      </c>
    </row>
    <row r="30" spans="1:8">
      <c r="A30" s="14" t="s">
        <v>42</v>
      </c>
      <c r="C30" s="2"/>
      <c r="D30" s="14">
        <v>12.5</v>
      </c>
      <c r="E30" s="2">
        <f t="shared" si="3"/>
        <v>58125</v>
      </c>
      <c r="F30" s="14">
        <v>9</v>
      </c>
      <c r="G30" s="2">
        <f t="shared" si="5"/>
        <v>30690</v>
      </c>
      <c r="H30" s="2">
        <f t="shared" si="4"/>
        <v>88815</v>
      </c>
    </row>
    <row r="31" spans="1:8">
      <c r="A31" s="14" t="s">
        <v>43</v>
      </c>
      <c r="C31" s="2"/>
      <c r="D31" s="14">
        <v>11.5</v>
      </c>
      <c r="E31" s="2">
        <f t="shared" si="3"/>
        <v>39215</v>
      </c>
      <c r="F31" s="14">
        <v>8.5</v>
      </c>
      <c r="G31" s="2">
        <f t="shared" si="5"/>
        <v>18445</v>
      </c>
      <c r="H31" s="2">
        <f t="shared" si="4"/>
        <v>57660</v>
      </c>
    </row>
    <row r="32" spans="1:8">
      <c r="A32" s="14" t="s">
        <v>44</v>
      </c>
      <c r="C32" s="2"/>
      <c r="D32" s="14">
        <v>11.5</v>
      </c>
      <c r="E32" s="2">
        <f t="shared" si="3"/>
        <v>28520</v>
      </c>
      <c r="F32" s="14">
        <v>8.5</v>
      </c>
      <c r="G32" s="2">
        <f t="shared" si="5"/>
        <v>13175</v>
      </c>
      <c r="H32" s="2">
        <f t="shared" si="4"/>
        <v>41695</v>
      </c>
    </row>
    <row r="33" spans="1:8">
      <c r="A33" s="14" t="s">
        <v>45</v>
      </c>
      <c r="C33" s="2"/>
      <c r="D33" s="14">
        <v>10.5</v>
      </c>
      <c r="E33" s="2">
        <f t="shared" si="3"/>
        <v>11025</v>
      </c>
      <c r="F33" s="14">
        <v>8</v>
      </c>
      <c r="G33" s="2">
        <f t="shared" si="5"/>
        <v>8400</v>
      </c>
      <c r="H33" s="2">
        <f t="shared" si="4"/>
        <v>19425</v>
      </c>
    </row>
    <row r="34" spans="1:8">
      <c r="A34" s="14" t="s">
        <v>46</v>
      </c>
      <c r="C34" s="2"/>
      <c r="D34" s="14">
        <v>11</v>
      </c>
      <c r="E34" s="2">
        <f t="shared" si="3"/>
        <v>15400</v>
      </c>
      <c r="F34" s="14">
        <v>8</v>
      </c>
      <c r="G34" s="2">
        <f t="shared" si="5"/>
        <v>7840</v>
      </c>
      <c r="H34" s="2">
        <f t="shared" si="4"/>
        <v>23240</v>
      </c>
    </row>
    <row r="35" spans="1:8" ht="6" customHeight="1">
      <c r="C35" s="2"/>
      <c r="E35" s="2"/>
      <c r="G35" s="2"/>
      <c r="H35" s="2"/>
    </row>
    <row r="36" spans="1:8">
      <c r="A36" s="13" t="s">
        <v>47</v>
      </c>
      <c r="E36" s="12">
        <f>SUM(E23:E35)</f>
        <v>330175</v>
      </c>
      <c r="F36" s="12"/>
      <c r="G36" s="12">
        <f>SUM(G23:G35)</f>
        <v>170072.5</v>
      </c>
      <c r="H36" s="4">
        <f>SUM(H23:H35)</f>
        <v>500247.5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3651B-3210-594E-ABA9-97F36F2B057E}">
  <dimension ref="A1:C26"/>
  <sheetViews>
    <sheetView zoomScaleNormal="100" workbookViewId="0">
      <selection sqref="A1:C26"/>
    </sheetView>
  </sheetViews>
  <sheetFormatPr defaultColWidth="10.796875" defaultRowHeight="14.4"/>
  <cols>
    <col min="1" max="1" width="17.296875" style="1" customWidth="1"/>
    <col min="2" max="2" width="1" style="1" customWidth="1"/>
    <col min="3" max="3" width="9" style="1" customWidth="1"/>
    <col min="4" max="16384" width="10.796875" style="1"/>
  </cols>
  <sheetData>
    <row r="1" spans="1:3">
      <c r="A1" s="5" t="s">
        <v>19</v>
      </c>
    </row>
    <row r="2" spans="1:3">
      <c r="A2" s="5"/>
      <c r="C2" s="10" t="s">
        <v>30</v>
      </c>
    </row>
    <row r="3" spans="1:3">
      <c r="A3" s="6" t="s">
        <v>21</v>
      </c>
    </row>
    <row r="4" spans="1:3">
      <c r="A4" s="1" t="s">
        <v>20</v>
      </c>
      <c r="C4" s="3">
        <v>265000</v>
      </c>
    </row>
    <row r="5" spans="1:3">
      <c r="A5" s="1" t="s">
        <v>31</v>
      </c>
      <c r="C5" s="3">
        <v>35000</v>
      </c>
    </row>
    <row r="6" spans="1:3">
      <c r="A6" s="1" t="s">
        <v>23</v>
      </c>
      <c r="C6" s="3">
        <v>65000</v>
      </c>
    </row>
    <row r="7" spans="1:3" ht="4.05" customHeight="1"/>
    <row r="8" spans="1:3">
      <c r="A8" s="5" t="s">
        <v>27</v>
      </c>
      <c r="C8" s="7">
        <f>SUM(C4:C7)</f>
        <v>365000</v>
      </c>
    </row>
    <row r="10" spans="1:3">
      <c r="A10" s="6" t="s">
        <v>24</v>
      </c>
    </row>
    <row r="11" spans="1:3">
      <c r="A11" s="9" t="s">
        <v>25</v>
      </c>
      <c r="C11" s="3">
        <v>215000</v>
      </c>
    </row>
    <row r="12" spans="1:3">
      <c r="A12" s="9" t="s">
        <v>26</v>
      </c>
      <c r="C12" s="3">
        <v>50000</v>
      </c>
    </row>
    <row r="13" spans="1:3">
      <c r="A13" s="9" t="s">
        <v>63</v>
      </c>
      <c r="C13" s="3">
        <v>50000</v>
      </c>
    </row>
    <row r="14" spans="1:3">
      <c r="A14" s="1" t="s">
        <v>64</v>
      </c>
      <c r="C14" s="3">
        <v>25000</v>
      </c>
    </row>
    <row r="15" spans="1:3">
      <c r="A15" s="1" t="s">
        <v>29</v>
      </c>
      <c r="C15" s="3">
        <v>25000</v>
      </c>
    </row>
    <row r="16" spans="1:3" ht="4.95" customHeight="1">
      <c r="C16" s="3"/>
    </row>
    <row r="17" spans="1:3">
      <c r="A17" s="5" t="s">
        <v>27</v>
      </c>
      <c r="C17" s="7">
        <f>SUM(C11:C16)</f>
        <v>365000</v>
      </c>
    </row>
    <row r="18" spans="1:3">
      <c r="A18" s="5"/>
      <c r="C18" s="7"/>
    </row>
    <row r="19" spans="1:3">
      <c r="A19" s="5"/>
    </row>
    <row r="20" spans="1:3">
      <c r="A20" s="6" t="s">
        <v>22</v>
      </c>
    </row>
    <row r="21" spans="1:3">
      <c r="A21" s="1" t="s">
        <v>32</v>
      </c>
      <c r="C21" s="3">
        <v>20000</v>
      </c>
    </row>
    <row r="22" spans="1:3">
      <c r="A22" s="1" t="s">
        <v>33</v>
      </c>
      <c r="C22" s="3">
        <v>5000</v>
      </c>
    </row>
    <row r="23" spans="1:3">
      <c r="A23" s="1" t="s">
        <v>65</v>
      </c>
      <c r="C23" s="3">
        <v>5000</v>
      </c>
    </row>
    <row r="24" spans="1:3">
      <c r="A24" s="1" t="s">
        <v>66</v>
      </c>
      <c r="C24" s="3">
        <v>5000</v>
      </c>
    </row>
    <row r="25" spans="1:3" ht="4.05" customHeight="1">
      <c r="C25" s="3"/>
    </row>
    <row r="26" spans="1:3">
      <c r="A26" s="5" t="s">
        <v>27</v>
      </c>
      <c r="B26" s="5"/>
      <c r="C26" s="7">
        <f>SUM(C21:C24)</f>
        <v>35000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22160-9852-D944-A031-54C76C30BCA9}">
  <dimension ref="A1:AN56"/>
  <sheetViews>
    <sheetView topLeftCell="Y1" zoomScaleNormal="100" workbookViewId="0">
      <selection activeCell="Y1" sqref="Y1"/>
    </sheetView>
  </sheetViews>
  <sheetFormatPr defaultColWidth="10.796875" defaultRowHeight="15.6"/>
  <cols>
    <col min="1" max="1" width="10.796875" style="14"/>
    <col min="2" max="2" width="1.296875" style="14" customWidth="1"/>
    <col min="3" max="3" width="5.19921875" style="14" customWidth="1"/>
    <col min="4" max="4" width="7" style="14" customWidth="1"/>
    <col min="5" max="5" width="8.5" style="14" customWidth="1"/>
    <col min="6" max="6" width="7.19921875" style="14" customWidth="1"/>
    <col min="7" max="7" width="9.796875" style="14" customWidth="1"/>
    <col min="8" max="8" width="10.796875" style="14"/>
    <col min="9" max="9" width="0.796875" style="14" customWidth="1"/>
    <col min="10" max="10" width="9.69921875" style="14" customWidth="1"/>
    <col min="11" max="12" width="10.796875" style="14"/>
    <col min="13" max="13" width="10.796875" style="14" customWidth="1"/>
    <col min="14" max="18" width="10.796875" style="14"/>
    <col min="19" max="19" width="28.796875" style="14" customWidth="1"/>
    <col min="20" max="20" width="1.296875" style="14" customWidth="1"/>
    <col min="21" max="22" width="10.796875" style="14"/>
    <col min="23" max="23" width="1.69921875" style="14" customWidth="1"/>
    <col min="24" max="24" width="10.796875" style="14"/>
    <col min="25" max="25" width="29.19921875" style="14" customWidth="1"/>
    <col min="26" max="26" width="1.69921875" style="14" customWidth="1"/>
    <col min="27" max="28" width="10.796875" style="14"/>
    <col min="29" max="29" width="1.5" style="14" customWidth="1"/>
    <col min="30" max="30" width="10.796875" style="14"/>
    <col min="31" max="31" width="29.796875" style="14" customWidth="1"/>
    <col min="32" max="32" width="1.296875" style="14" customWidth="1"/>
    <col min="33" max="34" width="10.796875" style="14"/>
    <col min="35" max="35" width="1.69921875" style="14" customWidth="1"/>
    <col min="36" max="36" width="10.796875" style="14"/>
    <col min="37" max="37" width="28.796875" style="14" customWidth="1"/>
    <col min="38" max="38" width="1.296875" style="14" customWidth="1"/>
    <col min="39" max="16384" width="10.796875" style="14"/>
  </cols>
  <sheetData>
    <row r="1" spans="1:40">
      <c r="A1" s="13" t="s">
        <v>34</v>
      </c>
      <c r="K1" s="13" t="s">
        <v>79</v>
      </c>
      <c r="S1" s="19" t="s">
        <v>81</v>
      </c>
      <c r="Y1" s="19" t="s">
        <v>82</v>
      </c>
      <c r="AE1" s="20" t="s">
        <v>83</v>
      </c>
      <c r="AF1" s="21"/>
      <c r="AG1" s="21"/>
      <c r="AH1" s="21"/>
      <c r="AK1" s="20" t="s">
        <v>84</v>
      </c>
      <c r="AL1" s="21"/>
      <c r="AM1" s="21"/>
      <c r="AN1" s="21"/>
    </row>
    <row r="2" spans="1:40" ht="16.05" customHeight="1">
      <c r="AE2" s="21"/>
      <c r="AF2" s="21"/>
      <c r="AG2" s="21"/>
      <c r="AH2" s="21"/>
      <c r="AK2" s="21"/>
      <c r="AL2" s="21"/>
      <c r="AM2" s="21"/>
      <c r="AN2" s="21"/>
    </row>
    <row r="3" spans="1:40" ht="15" customHeight="1">
      <c r="C3" s="15" t="s">
        <v>52</v>
      </c>
      <c r="D3" s="15" t="s">
        <v>53</v>
      </c>
      <c r="E3" s="15" t="s">
        <v>48</v>
      </c>
      <c r="F3" s="15" t="s">
        <v>53</v>
      </c>
      <c r="G3" s="15" t="s">
        <v>49</v>
      </c>
      <c r="H3" s="15" t="s">
        <v>27</v>
      </c>
      <c r="L3" s="15" t="s">
        <v>72</v>
      </c>
      <c r="M3" s="15" t="s">
        <v>73</v>
      </c>
      <c r="N3" s="15" t="s">
        <v>74</v>
      </c>
      <c r="O3" s="15" t="s">
        <v>75</v>
      </c>
      <c r="P3" s="15" t="s">
        <v>76</v>
      </c>
      <c r="S3" s="8" t="s">
        <v>51</v>
      </c>
      <c r="T3" s="1"/>
      <c r="U3" s="10" t="s">
        <v>30</v>
      </c>
      <c r="V3" s="10" t="s">
        <v>30</v>
      </c>
      <c r="Y3" s="8" t="s">
        <v>51</v>
      </c>
      <c r="Z3" s="1"/>
      <c r="AA3" s="10" t="s">
        <v>30</v>
      </c>
      <c r="AB3" s="10" t="s">
        <v>30</v>
      </c>
      <c r="AE3" s="8" t="s">
        <v>51</v>
      </c>
      <c r="AF3" s="1"/>
      <c r="AG3" s="10" t="s">
        <v>30</v>
      </c>
      <c r="AH3" s="10" t="s">
        <v>30</v>
      </c>
      <c r="AK3" s="8" t="s">
        <v>51</v>
      </c>
      <c r="AL3" s="1"/>
      <c r="AM3" s="10" t="s">
        <v>30</v>
      </c>
      <c r="AN3" s="10" t="s">
        <v>30</v>
      </c>
    </row>
    <row r="4" spans="1:40">
      <c r="A4" s="14" t="s">
        <v>35</v>
      </c>
      <c r="C4" s="2">
        <v>30</v>
      </c>
      <c r="D4" s="2">
        <v>50</v>
      </c>
      <c r="E4" s="2">
        <f>SUM(C4)*D4</f>
        <v>1500</v>
      </c>
      <c r="F4" s="2">
        <v>35</v>
      </c>
      <c r="G4" s="2">
        <f>SUM(C4)*F4</f>
        <v>1050</v>
      </c>
      <c r="H4" s="2">
        <f>SUM(E4:G4)</f>
        <v>2585</v>
      </c>
      <c r="K4" s="14" t="s">
        <v>77</v>
      </c>
      <c r="L4" s="2">
        <f>SUM(E36/E17)*(E17*90%)</f>
        <v>297157.5</v>
      </c>
      <c r="M4" s="2">
        <f>SUM(E36/E17)*(E17*95%)</f>
        <v>313666.25</v>
      </c>
      <c r="N4" s="2">
        <f>SUM(E36)</f>
        <v>330175</v>
      </c>
      <c r="O4" s="2">
        <f>SUM(E36/E17)*(E17*105%)</f>
        <v>346683.75</v>
      </c>
      <c r="P4" s="2">
        <f>SUM(E36/E17)*(E17*110%)</f>
        <v>363192.5</v>
      </c>
      <c r="S4" s="1"/>
      <c r="T4" s="1"/>
      <c r="U4" s="1"/>
      <c r="V4" s="1"/>
      <c r="Y4" s="1"/>
      <c r="Z4" s="1"/>
      <c r="AA4" s="1"/>
      <c r="AB4" s="1"/>
      <c r="AE4" s="1"/>
      <c r="AF4" s="1"/>
      <c r="AG4" s="1"/>
      <c r="AH4" s="1"/>
      <c r="AK4" s="1"/>
      <c r="AL4" s="1"/>
      <c r="AM4" s="1"/>
      <c r="AN4" s="1"/>
    </row>
    <row r="5" spans="1:40">
      <c r="A5" s="14" t="s">
        <v>36</v>
      </c>
      <c r="C5" s="2">
        <v>28</v>
      </c>
      <c r="D5" s="2">
        <v>60</v>
      </c>
      <c r="E5" s="2">
        <f>SUM(D5*C5)</f>
        <v>1680</v>
      </c>
      <c r="F5" s="2">
        <v>40</v>
      </c>
      <c r="G5" s="2">
        <f t="shared" ref="G5:G15" si="0">SUM(C5*F5)</f>
        <v>1120</v>
      </c>
      <c r="H5" s="2">
        <f t="shared" ref="H5:H15" si="1">SUM(E5+G5)</f>
        <v>2800</v>
      </c>
      <c r="K5" s="14" t="s">
        <v>78</v>
      </c>
      <c r="L5" s="2">
        <f>SUM(G36/G17)*(G17*90%)</f>
        <v>153065.25</v>
      </c>
      <c r="M5" s="2">
        <f>SUM(G36/G17)*(G17*95%)</f>
        <v>161568.875</v>
      </c>
      <c r="N5" s="2">
        <f>SUM(G36)</f>
        <v>170072.5</v>
      </c>
      <c r="O5" s="2">
        <f>SUM(G36/G17)*(G17*105%)</f>
        <v>178576.125</v>
      </c>
      <c r="P5" s="2">
        <f>SUM(G36/G17)*(G17*110%)</f>
        <v>187079.75</v>
      </c>
      <c r="S5" s="1" t="s">
        <v>0</v>
      </c>
      <c r="T5" s="1"/>
      <c r="U5" s="3">
        <f>SUM(L4)</f>
        <v>297157.5</v>
      </c>
      <c r="V5" s="1"/>
      <c r="Y5" s="1" t="s">
        <v>0</v>
      </c>
      <c r="Z5" s="1"/>
      <c r="AA5" s="3">
        <f>SUM(M4)</f>
        <v>313666.25</v>
      </c>
      <c r="AB5" s="1"/>
      <c r="AE5" s="1" t="s">
        <v>0</v>
      </c>
      <c r="AF5" s="1"/>
      <c r="AG5" s="3">
        <f>SUM(O4)</f>
        <v>346683.75</v>
      </c>
      <c r="AH5" s="1"/>
      <c r="AK5" s="1" t="s">
        <v>0</v>
      </c>
      <c r="AL5" s="1"/>
      <c r="AM5" s="3">
        <f>SUM(P4)</f>
        <v>363192.5</v>
      </c>
      <c r="AN5" s="1"/>
    </row>
    <row r="6" spans="1:40">
      <c r="A6" s="14" t="s">
        <v>37</v>
      </c>
      <c r="C6" s="2">
        <v>31</v>
      </c>
      <c r="D6" s="2">
        <v>40</v>
      </c>
      <c r="E6" s="2">
        <f t="shared" ref="E6:E15" si="2">SUM(C6*D6)</f>
        <v>1240</v>
      </c>
      <c r="F6" s="2">
        <v>25</v>
      </c>
      <c r="G6" s="2">
        <f t="shared" si="0"/>
        <v>775</v>
      </c>
      <c r="H6" s="2">
        <f t="shared" si="1"/>
        <v>2015</v>
      </c>
      <c r="L6" s="2"/>
      <c r="M6" s="2"/>
      <c r="N6" s="2"/>
      <c r="O6" s="2"/>
      <c r="P6" s="2"/>
      <c r="S6" s="1" t="s">
        <v>1</v>
      </c>
      <c r="T6" s="1"/>
      <c r="U6" s="3">
        <f>SUM(L5)</f>
        <v>153065.25</v>
      </c>
      <c r="V6" s="1"/>
      <c r="Y6" s="1" t="s">
        <v>1</v>
      </c>
      <c r="Z6" s="1"/>
      <c r="AA6" s="3">
        <f>SUM(M5)</f>
        <v>161568.875</v>
      </c>
      <c r="AB6" s="1"/>
      <c r="AE6" s="1" t="s">
        <v>1</v>
      </c>
      <c r="AF6" s="1"/>
      <c r="AG6" s="3">
        <f>SUM(O5)</f>
        <v>178576.125</v>
      </c>
      <c r="AH6" s="1"/>
      <c r="AK6" s="1" t="s">
        <v>1</v>
      </c>
      <c r="AL6" s="1"/>
      <c r="AM6" s="3">
        <f>SUM(P5)</f>
        <v>187079.75</v>
      </c>
      <c r="AN6" s="1"/>
    </row>
    <row r="7" spans="1:40">
      <c r="A7" s="14" t="s">
        <v>38</v>
      </c>
      <c r="C7" s="2">
        <v>30</v>
      </c>
      <c r="D7" s="2">
        <v>70</v>
      </c>
      <c r="E7" s="2">
        <f t="shared" si="2"/>
        <v>2100</v>
      </c>
      <c r="F7" s="2">
        <v>50</v>
      </c>
      <c r="G7" s="2">
        <f t="shared" si="0"/>
        <v>1500</v>
      </c>
      <c r="H7" s="2">
        <f t="shared" si="1"/>
        <v>3600</v>
      </c>
      <c r="K7" s="13" t="s">
        <v>27</v>
      </c>
      <c r="L7" s="4">
        <f>SUM(L4:L6)</f>
        <v>450222.75</v>
      </c>
      <c r="M7" s="4">
        <f>SUM(M4:M6)</f>
        <v>475235.125</v>
      </c>
      <c r="N7" s="4">
        <f>SUM(N4:N5)</f>
        <v>500247.5</v>
      </c>
      <c r="O7" s="4">
        <f>SUM(O4:O5)</f>
        <v>525259.875</v>
      </c>
      <c r="P7" s="4">
        <f>SUM(P4:P6)</f>
        <v>550272.25</v>
      </c>
      <c r="S7" s="1" t="s">
        <v>2</v>
      </c>
      <c r="T7" s="1"/>
      <c r="U7" s="3">
        <v>7860</v>
      </c>
      <c r="V7" s="1"/>
      <c r="Y7" s="1" t="s">
        <v>2</v>
      </c>
      <c r="Z7" s="1"/>
      <c r="AA7" s="3">
        <v>7860</v>
      </c>
      <c r="AB7" s="1"/>
      <c r="AE7" s="1" t="s">
        <v>2</v>
      </c>
      <c r="AF7" s="1"/>
      <c r="AG7" s="3">
        <v>7860</v>
      </c>
      <c r="AH7" s="1"/>
      <c r="AK7" s="1" t="s">
        <v>2</v>
      </c>
      <c r="AL7" s="1"/>
      <c r="AM7" s="3">
        <v>7860</v>
      </c>
      <c r="AN7" s="1"/>
    </row>
    <row r="8" spans="1:40">
      <c r="A8" s="14" t="s">
        <v>39</v>
      </c>
      <c r="C8" s="2">
        <v>31</v>
      </c>
      <c r="D8" s="2">
        <v>70</v>
      </c>
      <c r="E8" s="2">
        <f t="shared" si="2"/>
        <v>2170</v>
      </c>
      <c r="F8" s="2">
        <v>50</v>
      </c>
      <c r="G8" s="2">
        <f t="shared" si="0"/>
        <v>1550</v>
      </c>
      <c r="H8" s="2">
        <f t="shared" si="1"/>
        <v>3720</v>
      </c>
      <c r="S8" s="1" t="s">
        <v>3</v>
      </c>
      <c r="T8" s="1"/>
      <c r="U8" s="3">
        <v>2000</v>
      </c>
      <c r="V8" s="1"/>
      <c r="Y8" s="1" t="s">
        <v>3</v>
      </c>
      <c r="Z8" s="1"/>
      <c r="AA8" s="3">
        <v>2000</v>
      </c>
      <c r="AB8" s="1"/>
      <c r="AE8" s="1" t="s">
        <v>3</v>
      </c>
      <c r="AF8" s="1"/>
      <c r="AG8" s="3">
        <v>2000</v>
      </c>
      <c r="AH8" s="1"/>
      <c r="AK8" s="1" t="s">
        <v>3</v>
      </c>
      <c r="AL8" s="1"/>
      <c r="AM8" s="3">
        <v>2000</v>
      </c>
      <c r="AN8" s="1"/>
    </row>
    <row r="9" spans="1:40">
      <c r="A9" s="14" t="s">
        <v>40</v>
      </c>
      <c r="C9" s="2">
        <v>30</v>
      </c>
      <c r="D9" s="2">
        <v>85</v>
      </c>
      <c r="E9" s="2">
        <f t="shared" si="2"/>
        <v>2550</v>
      </c>
      <c r="F9" s="2">
        <v>60</v>
      </c>
      <c r="G9" s="2">
        <f t="shared" si="0"/>
        <v>1800</v>
      </c>
      <c r="H9" s="2">
        <f t="shared" si="1"/>
        <v>4350</v>
      </c>
      <c r="S9" s="1" t="s">
        <v>56</v>
      </c>
      <c r="T9" s="1"/>
      <c r="U9" s="3">
        <f>SUM(L10)*1.1</f>
        <v>47866.500000000007</v>
      </c>
      <c r="V9" s="1"/>
      <c r="Y9" s="1" t="s">
        <v>56</v>
      </c>
      <c r="Z9" s="1"/>
      <c r="AA9" s="3">
        <f>SUM(M10)*1.1</f>
        <v>50525.750000000007</v>
      </c>
      <c r="AB9" s="1"/>
      <c r="AE9" s="1" t="s">
        <v>56</v>
      </c>
      <c r="AF9" s="1"/>
      <c r="AG9" s="3">
        <f>SUM(O10)*1.1</f>
        <v>55844.250000000007</v>
      </c>
      <c r="AH9" s="1"/>
      <c r="AK9" s="1" t="s">
        <v>56</v>
      </c>
      <c r="AL9" s="1"/>
      <c r="AM9" s="3">
        <f>SUM(P10)*1.1</f>
        <v>58503.500000000015</v>
      </c>
      <c r="AN9" s="1"/>
    </row>
    <row r="10" spans="1:40">
      <c r="A10" s="14" t="s">
        <v>41</v>
      </c>
      <c r="C10" s="2">
        <v>31</v>
      </c>
      <c r="D10" s="2">
        <v>130</v>
      </c>
      <c r="E10" s="2">
        <f t="shared" si="2"/>
        <v>4030</v>
      </c>
      <c r="F10" s="2">
        <v>100</v>
      </c>
      <c r="G10" s="2">
        <f t="shared" si="0"/>
        <v>3100</v>
      </c>
      <c r="H10" s="2">
        <f t="shared" si="1"/>
        <v>7130</v>
      </c>
      <c r="K10" s="14" t="s">
        <v>80</v>
      </c>
      <c r="L10" s="2">
        <f>SUM(H17*90%)</f>
        <v>43515</v>
      </c>
      <c r="M10" s="2">
        <f>SUM(H17*95%)</f>
        <v>45932.5</v>
      </c>
      <c r="N10" s="2">
        <f>SUM(H17)</f>
        <v>48350</v>
      </c>
      <c r="O10" s="2">
        <f>SUM(H17*105%)</f>
        <v>50767.5</v>
      </c>
      <c r="P10" s="2">
        <f>SUM(H17)*110%</f>
        <v>53185.000000000007</v>
      </c>
      <c r="S10" s="1" t="s">
        <v>105</v>
      </c>
      <c r="T10" s="1"/>
      <c r="U10" s="3">
        <f>SUM(L10)*0.7</f>
        <v>30460.499999999996</v>
      </c>
      <c r="V10" s="1"/>
      <c r="Y10" s="1" t="s">
        <v>105</v>
      </c>
      <c r="Z10" s="1"/>
      <c r="AA10" s="3">
        <f>SUM(M10)*0.7</f>
        <v>32152.749999999996</v>
      </c>
      <c r="AB10" s="1"/>
      <c r="AE10" s="1" t="s">
        <v>105</v>
      </c>
      <c r="AF10" s="1"/>
      <c r="AG10" s="3">
        <f>SUM(O10)*0.7</f>
        <v>35537.25</v>
      </c>
      <c r="AH10" s="1"/>
      <c r="AK10" s="1" t="s">
        <v>105</v>
      </c>
      <c r="AL10" s="1"/>
      <c r="AM10" s="3">
        <f>SUM(P10)*0.7</f>
        <v>37229.5</v>
      </c>
      <c r="AN10" s="1"/>
    </row>
    <row r="11" spans="1:40">
      <c r="A11" s="14" t="s">
        <v>42</v>
      </c>
      <c r="C11" s="2">
        <v>31</v>
      </c>
      <c r="D11" s="2">
        <v>150</v>
      </c>
      <c r="E11" s="2">
        <f t="shared" si="2"/>
        <v>4650</v>
      </c>
      <c r="F11" s="2">
        <v>110</v>
      </c>
      <c r="G11" s="2">
        <f t="shared" si="0"/>
        <v>3410</v>
      </c>
      <c r="H11" s="2">
        <f t="shared" si="1"/>
        <v>8060</v>
      </c>
      <c r="S11" s="1" t="s">
        <v>4</v>
      </c>
      <c r="T11" s="1"/>
      <c r="U11" s="3">
        <f>SUM(L10)*0.3</f>
        <v>13054.5</v>
      </c>
      <c r="V11" s="1"/>
      <c r="Y11" s="1" t="s">
        <v>4</v>
      </c>
      <c r="Z11" s="1"/>
      <c r="AA11" s="3">
        <f>SUM(M10)*0.3</f>
        <v>13779.75</v>
      </c>
      <c r="AB11" s="1"/>
      <c r="AE11" s="1" t="s">
        <v>4</v>
      </c>
      <c r="AF11" s="1"/>
      <c r="AG11" s="3">
        <f>SUM(O10)*0.3</f>
        <v>15230.25</v>
      </c>
      <c r="AH11" s="1"/>
      <c r="AK11" s="1" t="s">
        <v>4</v>
      </c>
      <c r="AL11" s="1"/>
      <c r="AM11" s="3">
        <f>SUM(P10)*0.3</f>
        <v>15955.500000000002</v>
      </c>
      <c r="AN11" s="1"/>
    </row>
    <row r="12" spans="1:40">
      <c r="A12" s="14" t="s">
        <v>43</v>
      </c>
      <c r="C12" s="2">
        <v>31</v>
      </c>
      <c r="D12" s="2">
        <v>110</v>
      </c>
      <c r="E12" s="2">
        <f t="shared" si="2"/>
        <v>3410</v>
      </c>
      <c r="F12" s="2">
        <v>70</v>
      </c>
      <c r="G12" s="2">
        <f t="shared" si="0"/>
        <v>2170</v>
      </c>
      <c r="H12" s="2">
        <f t="shared" si="1"/>
        <v>5580</v>
      </c>
      <c r="S12" s="1"/>
      <c r="T12" s="1"/>
      <c r="U12" s="3"/>
      <c r="V12" s="1"/>
      <c r="Y12" s="1"/>
      <c r="Z12" s="1"/>
      <c r="AA12" s="3"/>
      <c r="AB12" s="1"/>
      <c r="AE12" s="1"/>
      <c r="AF12" s="1"/>
      <c r="AG12" s="3"/>
      <c r="AH12" s="1"/>
      <c r="AK12" s="1"/>
      <c r="AL12" s="1"/>
      <c r="AM12" s="3"/>
      <c r="AN12" s="1"/>
    </row>
    <row r="13" spans="1:40">
      <c r="A13" s="14" t="s">
        <v>44</v>
      </c>
      <c r="C13" s="2">
        <v>31</v>
      </c>
      <c r="D13" s="2">
        <v>80</v>
      </c>
      <c r="E13" s="2">
        <f t="shared" si="2"/>
        <v>2480</v>
      </c>
      <c r="F13" s="2">
        <v>50</v>
      </c>
      <c r="G13" s="2">
        <f t="shared" si="0"/>
        <v>1550</v>
      </c>
      <c r="H13" s="2">
        <f t="shared" si="1"/>
        <v>4030</v>
      </c>
      <c r="K13" s="13" t="s">
        <v>85</v>
      </c>
      <c r="S13" s="5" t="s">
        <v>5</v>
      </c>
      <c r="T13" s="1"/>
      <c r="U13" s="7"/>
      <c r="V13" s="7">
        <f>SUM(U5:U11)</f>
        <v>551464.25</v>
      </c>
      <c r="Y13" s="5" t="s">
        <v>5</v>
      </c>
      <c r="Z13" s="1"/>
      <c r="AA13" s="7"/>
      <c r="AB13" s="7">
        <f>SUM(AA5:AA11)</f>
        <v>581553.375</v>
      </c>
      <c r="AE13" s="5" t="s">
        <v>5</v>
      </c>
      <c r="AF13" s="1"/>
      <c r="AG13" s="7"/>
      <c r="AH13" s="7">
        <f>SUM(AG5:AG11)</f>
        <v>641731.625</v>
      </c>
      <c r="AK13" s="5" t="s">
        <v>5</v>
      </c>
      <c r="AL13" s="1"/>
      <c r="AM13" s="7"/>
      <c r="AN13" s="7">
        <f>SUM(AM5:AM11)</f>
        <v>671820.75</v>
      </c>
    </row>
    <row r="14" spans="1:40">
      <c r="A14" s="14" t="s">
        <v>45</v>
      </c>
      <c r="C14" s="2">
        <v>30</v>
      </c>
      <c r="D14" s="2">
        <v>35</v>
      </c>
      <c r="E14" s="2">
        <f t="shared" si="2"/>
        <v>1050</v>
      </c>
      <c r="F14" s="2">
        <v>35</v>
      </c>
      <c r="G14" s="2">
        <f t="shared" si="0"/>
        <v>1050</v>
      </c>
      <c r="H14" s="2">
        <f t="shared" si="1"/>
        <v>2100</v>
      </c>
      <c r="L14" s="25" t="s">
        <v>110</v>
      </c>
      <c r="S14" s="5"/>
      <c r="T14" s="1"/>
      <c r="U14" s="7"/>
      <c r="V14" s="7"/>
      <c r="Y14" s="5"/>
      <c r="Z14" s="1"/>
      <c r="AA14" s="7"/>
      <c r="AB14" s="7"/>
      <c r="AE14" s="5"/>
      <c r="AF14" s="1"/>
      <c r="AG14" s="7"/>
      <c r="AH14" s="7"/>
      <c r="AK14" s="5"/>
      <c r="AL14" s="1"/>
      <c r="AM14" s="7"/>
      <c r="AN14" s="7"/>
    </row>
    <row r="15" spans="1:40">
      <c r="A15" s="14" t="s">
        <v>46</v>
      </c>
      <c r="C15" s="2">
        <v>28</v>
      </c>
      <c r="D15" s="2">
        <v>50</v>
      </c>
      <c r="E15" s="2">
        <f t="shared" si="2"/>
        <v>1400</v>
      </c>
      <c r="F15" s="2">
        <v>35</v>
      </c>
      <c r="G15" s="2">
        <f t="shared" si="0"/>
        <v>980</v>
      </c>
      <c r="H15" s="2">
        <f t="shared" si="1"/>
        <v>2380</v>
      </c>
      <c r="L15" s="14" t="s">
        <v>109</v>
      </c>
      <c r="S15" s="8" t="s">
        <v>6</v>
      </c>
      <c r="T15" s="1"/>
      <c r="U15" s="10" t="s">
        <v>30</v>
      </c>
      <c r="V15" s="10" t="s">
        <v>30</v>
      </c>
      <c r="Y15" s="8" t="s">
        <v>6</v>
      </c>
      <c r="Z15" s="1"/>
      <c r="AA15" s="10" t="s">
        <v>30</v>
      </c>
      <c r="AB15" s="10" t="s">
        <v>30</v>
      </c>
      <c r="AE15" s="8" t="s">
        <v>6</v>
      </c>
      <c r="AF15" s="1"/>
      <c r="AG15" s="10" t="s">
        <v>30</v>
      </c>
      <c r="AH15" s="10" t="s">
        <v>30</v>
      </c>
      <c r="AK15" s="8" t="s">
        <v>6</v>
      </c>
      <c r="AL15" s="1"/>
      <c r="AM15" s="10" t="s">
        <v>30</v>
      </c>
      <c r="AN15" s="10" t="s">
        <v>30</v>
      </c>
    </row>
    <row r="16" spans="1:40" ht="4.95" customHeight="1">
      <c r="C16" s="2"/>
      <c r="D16" s="2"/>
      <c r="E16" s="2"/>
      <c r="F16" s="2"/>
      <c r="G16" s="2"/>
      <c r="H16" s="2"/>
      <c r="T16" s="1"/>
      <c r="U16" s="18"/>
      <c r="V16" s="10"/>
      <c r="Z16" s="1"/>
      <c r="AA16" s="18"/>
      <c r="AB16" s="10"/>
      <c r="AF16" s="1"/>
      <c r="AG16" s="18"/>
      <c r="AH16" s="10"/>
      <c r="AL16" s="1"/>
      <c r="AM16" s="18"/>
      <c r="AN16" s="10"/>
    </row>
    <row r="17" spans="1:40">
      <c r="A17" s="13" t="s">
        <v>47</v>
      </c>
      <c r="C17" s="2"/>
      <c r="D17" s="2"/>
      <c r="E17" s="12">
        <f>SUM(E4:E16)</f>
        <v>28260</v>
      </c>
      <c r="F17" s="12"/>
      <c r="G17" s="12">
        <f>SUM(G4:G16)</f>
        <v>20055</v>
      </c>
      <c r="H17" s="4">
        <f>SUM(H4:H16)</f>
        <v>48350</v>
      </c>
      <c r="S17" s="8"/>
      <c r="T17" s="1"/>
      <c r="U17" s="3"/>
      <c r="V17" s="1"/>
      <c r="Y17" s="8"/>
      <c r="Z17" s="1"/>
      <c r="AA17" s="3"/>
      <c r="AB17" s="1"/>
      <c r="AE17" s="8"/>
      <c r="AF17" s="1"/>
      <c r="AG17" s="3"/>
      <c r="AH17" s="1"/>
      <c r="AK17" s="8"/>
      <c r="AL17" s="1"/>
      <c r="AM17" s="3"/>
      <c r="AN17" s="1"/>
    </row>
    <row r="18" spans="1:40">
      <c r="C18" s="2"/>
      <c r="E18" s="2"/>
      <c r="G18" s="2"/>
      <c r="H18" s="2"/>
      <c r="S18" s="1" t="s">
        <v>107</v>
      </c>
      <c r="T18" s="1"/>
      <c r="U18" s="3">
        <f>SUM(U5:U6)*30%</f>
        <v>135066.82499999998</v>
      </c>
      <c r="V18" s="1"/>
      <c r="Y18" s="1" t="s">
        <v>107</v>
      </c>
      <c r="Z18" s="1"/>
      <c r="AA18" s="3">
        <f>SUM(AA5:AA6)*30%</f>
        <v>142570.53750000001</v>
      </c>
      <c r="AB18" s="1"/>
      <c r="AE18" s="1" t="s">
        <v>107</v>
      </c>
      <c r="AF18" s="1"/>
      <c r="AG18" s="3">
        <f>SUM(AG5:AG6)*30%</f>
        <v>157577.96249999999</v>
      </c>
      <c r="AH18" s="1"/>
      <c r="AK18" s="1" t="s">
        <v>107</v>
      </c>
      <c r="AL18" s="1"/>
      <c r="AM18" s="3">
        <f>SUM(AM5:AM6)*30%</f>
        <v>165081.67499999999</v>
      </c>
      <c r="AN18" s="1"/>
    </row>
    <row r="19" spans="1:40">
      <c r="C19" s="2"/>
      <c r="E19" s="2"/>
      <c r="G19" s="2"/>
      <c r="H19" s="2"/>
      <c r="S19" s="1" t="s">
        <v>106</v>
      </c>
      <c r="T19" s="1"/>
      <c r="U19" s="3">
        <f>SUM(U10)*35%</f>
        <v>10661.174999999997</v>
      </c>
      <c r="V19" s="1"/>
      <c r="Y19" s="1" t="s">
        <v>106</v>
      </c>
      <c r="Z19" s="1"/>
      <c r="AA19" s="3">
        <f>SUM(AA10)*35%</f>
        <v>11253.462499999998</v>
      </c>
      <c r="AB19" s="1"/>
      <c r="AE19" s="1" t="s">
        <v>106</v>
      </c>
      <c r="AF19" s="1"/>
      <c r="AG19" s="3">
        <f>SUM(AG10)*35%</f>
        <v>12438.037499999999</v>
      </c>
      <c r="AH19" s="1"/>
      <c r="AK19" s="1" t="s">
        <v>106</v>
      </c>
      <c r="AL19" s="1"/>
      <c r="AM19" s="3">
        <f>SUM(AM10)*35%</f>
        <v>13030.324999999999</v>
      </c>
      <c r="AN19" s="1"/>
    </row>
    <row r="20" spans="1:40">
      <c r="A20" s="13" t="s">
        <v>51</v>
      </c>
      <c r="C20" s="2"/>
      <c r="E20" s="2"/>
      <c r="G20" s="2"/>
      <c r="H20" s="2"/>
      <c r="S20" s="1"/>
      <c r="T20" s="1"/>
      <c r="U20" s="3"/>
      <c r="V20" s="3">
        <f>SUM(U18:U19)</f>
        <v>145727.99999999997</v>
      </c>
      <c r="Y20" s="1"/>
      <c r="Z20" s="1"/>
      <c r="AA20" s="3"/>
      <c r="AB20" s="3">
        <f>SUM(AA18:AA19)</f>
        <v>153824</v>
      </c>
      <c r="AE20" s="1"/>
      <c r="AF20" s="1"/>
      <c r="AG20" s="3"/>
      <c r="AH20" s="3">
        <f>SUM(AG18:AG19)</f>
        <v>170016</v>
      </c>
      <c r="AK20" s="1"/>
      <c r="AL20" s="1"/>
      <c r="AM20" s="3"/>
      <c r="AN20" s="3">
        <f>SUM(AM18:AM19)</f>
        <v>178112</v>
      </c>
    </row>
    <row r="21" spans="1:40" ht="16.05" customHeight="1">
      <c r="C21" s="2"/>
      <c r="E21" s="2"/>
      <c r="G21" s="2"/>
      <c r="H21" s="2"/>
      <c r="S21" s="5" t="s">
        <v>7</v>
      </c>
      <c r="T21" s="1"/>
      <c r="U21" s="3"/>
      <c r="V21" s="1"/>
      <c r="Y21" s="5" t="s">
        <v>7</v>
      </c>
      <c r="Z21" s="1"/>
      <c r="AA21" s="3"/>
      <c r="AB21" s="1"/>
      <c r="AE21" s="5" t="s">
        <v>7</v>
      </c>
      <c r="AF21" s="1"/>
      <c r="AG21" s="3"/>
      <c r="AH21" s="1"/>
      <c r="AK21" s="5" t="s">
        <v>7</v>
      </c>
      <c r="AL21" s="1"/>
      <c r="AM21" s="3"/>
      <c r="AN21" s="1"/>
    </row>
    <row r="22" spans="1:40">
      <c r="C22" s="11"/>
      <c r="D22" s="15" t="s">
        <v>54</v>
      </c>
      <c r="E22" s="11" t="s">
        <v>48</v>
      </c>
      <c r="F22" s="15" t="s">
        <v>54</v>
      </c>
      <c r="G22" s="11" t="s">
        <v>49</v>
      </c>
      <c r="H22" s="11" t="s">
        <v>55</v>
      </c>
      <c r="S22" s="1" t="s">
        <v>8</v>
      </c>
      <c r="T22" s="1"/>
      <c r="U22" s="3">
        <v>4500</v>
      </c>
      <c r="V22" s="1"/>
      <c r="Y22" s="1" t="s">
        <v>8</v>
      </c>
      <c r="Z22" s="1"/>
      <c r="AA22" s="3">
        <v>4500</v>
      </c>
      <c r="AB22" s="1"/>
      <c r="AE22" s="1" t="s">
        <v>8</v>
      </c>
      <c r="AF22" s="1"/>
      <c r="AG22" s="3">
        <v>4500</v>
      </c>
      <c r="AH22" s="1"/>
      <c r="AK22" s="1" t="s">
        <v>8</v>
      </c>
      <c r="AL22" s="1"/>
      <c r="AM22" s="3">
        <v>4500</v>
      </c>
      <c r="AN22" s="1"/>
    </row>
    <row r="23" spans="1:40">
      <c r="A23" s="14" t="s">
        <v>35</v>
      </c>
      <c r="C23" s="2"/>
      <c r="D23" s="14">
        <v>11</v>
      </c>
      <c r="E23" s="2">
        <f t="shared" ref="E23:E34" si="3">SUM(D23*E4)</f>
        <v>16500</v>
      </c>
      <c r="F23" s="14">
        <v>8</v>
      </c>
      <c r="G23" s="2">
        <f>SUM(G4*F23)</f>
        <v>8400</v>
      </c>
      <c r="H23" s="2">
        <f t="shared" ref="H23:H34" si="4">SUM(E23+G23)</f>
        <v>24900</v>
      </c>
      <c r="S23" s="1" t="s">
        <v>57</v>
      </c>
      <c r="T23" s="1"/>
      <c r="U23" s="3">
        <v>1200</v>
      </c>
      <c r="V23" s="1"/>
      <c r="Y23" s="1" t="s">
        <v>57</v>
      </c>
      <c r="Z23" s="1"/>
      <c r="AA23" s="3">
        <v>1200</v>
      </c>
      <c r="AB23" s="1"/>
      <c r="AE23" s="1" t="s">
        <v>57</v>
      </c>
      <c r="AF23" s="1"/>
      <c r="AG23" s="3">
        <v>1200</v>
      </c>
      <c r="AH23" s="1"/>
      <c r="AK23" s="1" t="s">
        <v>57</v>
      </c>
      <c r="AL23" s="1"/>
      <c r="AM23" s="3">
        <v>1200</v>
      </c>
      <c r="AN23" s="1"/>
    </row>
    <row r="24" spans="1:40">
      <c r="A24" s="14" t="s">
        <v>36</v>
      </c>
      <c r="C24" s="2"/>
      <c r="D24" s="14">
        <v>11</v>
      </c>
      <c r="E24" s="2">
        <f t="shared" si="3"/>
        <v>18480</v>
      </c>
      <c r="F24" s="14">
        <v>8</v>
      </c>
      <c r="G24" s="2">
        <f t="shared" ref="G24:G34" si="5">SUM(F24*G5)</f>
        <v>8960</v>
      </c>
      <c r="H24" s="2">
        <f t="shared" si="4"/>
        <v>27440</v>
      </c>
      <c r="S24" s="1" t="s">
        <v>9</v>
      </c>
      <c r="T24" s="1"/>
      <c r="U24" s="3">
        <v>9600</v>
      </c>
      <c r="V24" s="1"/>
      <c r="Y24" s="1" t="s">
        <v>9</v>
      </c>
      <c r="Z24" s="1"/>
      <c r="AA24" s="3">
        <v>9600</v>
      </c>
      <c r="AB24" s="1"/>
      <c r="AE24" s="1" t="s">
        <v>9</v>
      </c>
      <c r="AF24" s="1"/>
      <c r="AG24" s="3">
        <v>9600</v>
      </c>
      <c r="AH24" s="1"/>
      <c r="AK24" s="1" t="s">
        <v>9</v>
      </c>
      <c r="AL24" s="1"/>
      <c r="AM24" s="3">
        <v>9600</v>
      </c>
      <c r="AN24" s="1"/>
    </row>
    <row r="25" spans="1:40">
      <c r="A25" s="14" t="s">
        <v>37</v>
      </c>
      <c r="C25" s="2"/>
      <c r="D25" s="14">
        <v>9.5</v>
      </c>
      <c r="E25" s="2">
        <f t="shared" si="3"/>
        <v>11780</v>
      </c>
      <c r="F25" s="14">
        <v>6.5</v>
      </c>
      <c r="G25" s="2">
        <f t="shared" si="5"/>
        <v>5037.5</v>
      </c>
      <c r="H25" s="2">
        <f t="shared" si="4"/>
        <v>16817.5</v>
      </c>
      <c r="S25" s="1"/>
      <c r="T25" s="1"/>
      <c r="U25" s="3"/>
      <c r="V25" s="3">
        <f>SUM(U22:U24)</f>
        <v>15300</v>
      </c>
      <c r="Y25" s="1"/>
      <c r="Z25" s="1"/>
      <c r="AA25" s="3"/>
      <c r="AB25" s="3">
        <f>SUM(AA22:AA24)</f>
        <v>15300</v>
      </c>
      <c r="AE25" s="1"/>
      <c r="AF25" s="1"/>
      <c r="AG25" s="3"/>
      <c r="AH25" s="3">
        <f>SUM(AG22:AG24)</f>
        <v>15300</v>
      </c>
      <c r="AK25" s="1"/>
      <c r="AL25" s="1"/>
      <c r="AM25" s="3"/>
      <c r="AN25" s="3">
        <f>SUM(AM22:AM24)</f>
        <v>15300</v>
      </c>
    </row>
    <row r="26" spans="1:40">
      <c r="A26" s="14" t="s">
        <v>38</v>
      </c>
      <c r="C26" s="2"/>
      <c r="D26" s="14">
        <v>12</v>
      </c>
      <c r="E26" s="2">
        <f t="shared" si="3"/>
        <v>25200</v>
      </c>
      <c r="F26" s="14">
        <v>8.5</v>
      </c>
      <c r="G26" s="2">
        <f t="shared" si="5"/>
        <v>12750</v>
      </c>
      <c r="H26" s="2">
        <f t="shared" si="4"/>
        <v>37950</v>
      </c>
      <c r="S26" s="5" t="s">
        <v>10</v>
      </c>
      <c r="T26" s="1"/>
      <c r="U26" s="3"/>
      <c r="V26" s="1"/>
      <c r="Y26" s="5" t="s">
        <v>10</v>
      </c>
      <c r="Z26" s="1"/>
      <c r="AA26" s="3"/>
      <c r="AB26" s="1"/>
      <c r="AE26" s="5" t="s">
        <v>10</v>
      </c>
      <c r="AF26" s="1"/>
      <c r="AG26" s="3"/>
      <c r="AH26" s="1"/>
      <c r="AK26" s="5" t="s">
        <v>10</v>
      </c>
      <c r="AL26" s="1"/>
      <c r="AM26" s="3"/>
      <c r="AN26" s="1"/>
    </row>
    <row r="27" spans="1:40">
      <c r="A27" s="14" t="s">
        <v>39</v>
      </c>
      <c r="C27" s="2"/>
      <c r="D27" s="14">
        <v>11.5</v>
      </c>
      <c r="E27" s="2">
        <f t="shared" si="3"/>
        <v>24955</v>
      </c>
      <c r="F27" s="14">
        <v>8.5</v>
      </c>
      <c r="G27" s="2">
        <f t="shared" si="5"/>
        <v>13175</v>
      </c>
      <c r="H27" s="2">
        <f t="shared" si="4"/>
        <v>38130</v>
      </c>
      <c r="S27" s="1" t="s">
        <v>96</v>
      </c>
      <c r="T27" s="1"/>
      <c r="U27" s="3">
        <v>42048</v>
      </c>
      <c r="V27" s="1"/>
      <c r="Y27" s="1" t="s">
        <v>96</v>
      </c>
      <c r="Z27" s="1"/>
      <c r="AA27" s="3">
        <v>42048</v>
      </c>
      <c r="AB27" s="1"/>
      <c r="AE27" s="1" t="s">
        <v>96</v>
      </c>
      <c r="AF27" s="1"/>
      <c r="AG27" s="3">
        <v>42048</v>
      </c>
      <c r="AH27" s="1"/>
      <c r="AK27" s="1" t="s">
        <v>96</v>
      </c>
      <c r="AL27" s="1"/>
      <c r="AM27" s="3">
        <v>42048</v>
      </c>
      <c r="AN27" s="1"/>
    </row>
    <row r="28" spans="1:40">
      <c r="A28" s="14" t="s">
        <v>40</v>
      </c>
      <c r="C28" s="2"/>
      <c r="D28" s="14">
        <v>12</v>
      </c>
      <c r="E28" s="2">
        <f t="shared" si="3"/>
        <v>30600</v>
      </c>
      <c r="F28" s="14">
        <v>8.5</v>
      </c>
      <c r="G28" s="2">
        <f t="shared" si="5"/>
        <v>15300</v>
      </c>
      <c r="H28" s="2">
        <f t="shared" si="4"/>
        <v>45900</v>
      </c>
      <c r="S28" s="1" t="s">
        <v>97</v>
      </c>
      <c r="T28" s="1"/>
      <c r="U28" s="3">
        <v>57413</v>
      </c>
      <c r="V28" s="1"/>
      <c r="Y28" s="1" t="s">
        <v>97</v>
      </c>
      <c r="Z28" s="1"/>
      <c r="AA28" s="3">
        <v>57413</v>
      </c>
      <c r="AB28" s="1"/>
      <c r="AE28" s="1" t="s">
        <v>97</v>
      </c>
      <c r="AF28" s="1"/>
      <c r="AG28" s="3">
        <v>57413</v>
      </c>
      <c r="AH28" s="1"/>
      <c r="AK28" s="1" t="s">
        <v>97</v>
      </c>
      <c r="AL28" s="1"/>
      <c r="AM28" s="3">
        <v>57413</v>
      </c>
      <c r="AN28" s="1"/>
    </row>
    <row r="29" spans="1:40">
      <c r="A29" s="14" t="s">
        <v>41</v>
      </c>
      <c r="C29" s="2"/>
      <c r="D29" s="14">
        <v>12.5</v>
      </c>
      <c r="E29" s="2">
        <f t="shared" si="3"/>
        <v>50375</v>
      </c>
      <c r="F29" s="14">
        <v>9</v>
      </c>
      <c r="G29" s="2">
        <f t="shared" si="5"/>
        <v>27900</v>
      </c>
      <c r="H29" s="2">
        <f t="shared" si="4"/>
        <v>78275</v>
      </c>
      <c r="S29" s="1" t="s">
        <v>98</v>
      </c>
      <c r="T29" s="1"/>
      <c r="U29" s="3">
        <v>31991</v>
      </c>
      <c r="V29" s="1"/>
      <c r="Y29" s="1" t="s">
        <v>98</v>
      </c>
      <c r="Z29" s="1"/>
      <c r="AA29" s="3">
        <v>31991</v>
      </c>
      <c r="AB29" s="1"/>
      <c r="AE29" s="1" t="s">
        <v>98</v>
      </c>
      <c r="AF29" s="1"/>
      <c r="AG29" s="3">
        <v>31991</v>
      </c>
      <c r="AH29" s="1"/>
      <c r="AK29" s="1" t="s">
        <v>98</v>
      </c>
      <c r="AL29" s="1"/>
      <c r="AM29" s="3">
        <v>31991</v>
      </c>
      <c r="AN29" s="1"/>
    </row>
    <row r="30" spans="1:40">
      <c r="A30" s="14" t="s">
        <v>42</v>
      </c>
      <c r="C30" s="2"/>
      <c r="D30" s="14">
        <v>12.5</v>
      </c>
      <c r="E30" s="2">
        <f t="shared" si="3"/>
        <v>58125</v>
      </c>
      <c r="F30" s="14">
        <v>9</v>
      </c>
      <c r="G30" s="2">
        <f t="shared" si="5"/>
        <v>30690</v>
      </c>
      <c r="H30" s="2">
        <f t="shared" si="4"/>
        <v>88815</v>
      </c>
      <c r="S30" s="1" t="s">
        <v>68</v>
      </c>
      <c r="T30" s="1"/>
      <c r="U30" s="3">
        <v>81419</v>
      </c>
      <c r="V30" s="1"/>
      <c r="Y30" s="1" t="s">
        <v>68</v>
      </c>
      <c r="Z30" s="1"/>
      <c r="AA30" s="3">
        <v>81419</v>
      </c>
      <c r="AB30" s="1"/>
      <c r="AE30" s="1" t="s">
        <v>68</v>
      </c>
      <c r="AF30" s="1"/>
      <c r="AG30" s="3">
        <v>81419</v>
      </c>
      <c r="AH30" s="1"/>
      <c r="AK30" s="1" t="s">
        <v>68</v>
      </c>
      <c r="AL30" s="1"/>
      <c r="AM30" s="3">
        <v>81419</v>
      </c>
      <c r="AN30" s="1"/>
    </row>
    <row r="31" spans="1:40">
      <c r="A31" s="14" t="s">
        <v>43</v>
      </c>
      <c r="C31" s="2"/>
      <c r="D31" s="14">
        <v>11.5</v>
      </c>
      <c r="E31" s="2">
        <f t="shared" si="3"/>
        <v>39215</v>
      </c>
      <c r="F31" s="14">
        <v>8.5</v>
      </c>
      <c r="G31" s="2">
        <f t="shared" si="5"/>
        <v>18445</v>
      </c>
      <c r="H31" s="2">
        <f t="shared" si="4"/>
        <v>57660</v>
      </c>
      <c r="S31" s="1" t="s">
        <v>11</v>
      </c>
      <c r="T31" s="1"/>
      <c r="U31" s="3">
        <v>2975</v>
      </c>
      <c r="V31" s="1"/>
      <c r="Y31" s="1" t="s">
        <v>11</v>
      </c>
      <c r="Z31" s="1"/>
      <c r="AA31" s="3">
        <v>2975</v>
      </c>
      <c r="AB31" s="1"/>
      <c r="AE31" s="1" t="s">
        <v>11</v>
      </c>
      <c r="AF31" s="1"/>
      <c r="AG31" s="3">
        <v>2975</v>
      </c>
      <c r="AH31" s="1"/>
      <c r="AK31" s="1" t="s">
        <v>11</v>
      </c>
      <c r="AL31" s="1"/>
      <c r="AM31" s="3">
        <v>2975</v>
      </c>
      <c r="AN31" s="1"/>
    </row>
    <row r="32" spans="1:40">
      <c r="A32" s="14" t="s">
        <v>44</v>
      </c>
      <c r="C32" s="2"/>
      <c r="D32" s="14">
        <v>11.5</v>
      </c>
      <c r="E32" s="2">
        <f t="shared" si="3"/>
        <v>28520</v>
      </c>
      <c r="F32" s="14">
        <v>8.5</v>
      </c>
      <c r="G32" s="2">
        <f t="shared" si="5"/>
        <v>13175</v>
      </c>
      <c r="H32" s="2">
        <f t="shared" si="4"/>
        <v>41695</v>
      </c>
      <c r="S32" s="1"/>
      <c r="T32" s="1"/>
      <c r="U32" s="3"/>
      <c r="V32" s="3">
        <f>SUM(U27:U31)</f>
        <v>215846</v>
      </c>
      <c r="Y32" s="1"/>
      <c r="Z32" s="1"/>
      <c r="AA32" s="3"/>
      <c r="AB32" s="3">
        <f>SUM(AA27:AA31)</f>
        <v>215846</v>
      </c>
      <c r="AE32" s="1"/>
      <c r="AF32" s="1"/>
      <c r="AG32" s="3"/>
      <c r="AH32" s="3">
        <f>SUM(AG27:AG31)</f>
        <v>215846</v>
      </c>
      <c r="AK32" s="1"/>
      <c r="AL32" s="1"/>
      <c r="AM32" s="3"/>
      <c r="AN32" s="3">
        <f>SUM(AM27:AM31)</f>
        <v>215846</v>
      </c>
    </row>
    <row r="33" spans="1:40">
      <c r="A33" s="14" t="s">
        <v>45</v>
      </c>
      <c r="C33" s="2"/>
      <c r="D33" s="14">
        <v>10.5</v>
      </c>
      <c r="E33" s="2">
        <f t="shared" si="3"/>
        <v>11025</v>
      </c>
      <c r="F33" s="14">
        <v>8</v>
      </c>
      <c r="G33" s="2">
        <f t="shared" si="5"/>
        <v>8400</v>
      </c>
      <c r="H33" s="2">
        <f t="shared" si="4"/>
        <v>19425</v>
      </c>
      <c r="S33" s="5" t="s">
        <v>12</v>
      </c>
      <c r="T33" s="1"/>
      <c r="U33" s="3"/>
      <c r="V33" s="1"/>
      <c r="Y33" s="5" t="s">
        <v>12</v>
      </c>
      <c r="Z33" s="1"/>
      <c r="AA33" s="3"/>
      <c r="AB33" s="1"/>
      <c r="AE33" s="5" t="s">
        <v>12</v>
      </c>
      <c r="AF33" s="1"/>
      <c r="AG33" s="3"/>
      <c r="AH33" s="1"/>
      <c r="AK33" s="5" t="s">
        <v>12</v>
      </c>
      <c r="AL33" s="1"/>
      <c r="AM33" s="3"/>
      <c r="AN33" s="1"/>
    </row>
    <row r="34" spans="1:40">
      <c r="A34" s="14" t="s">
        <v>46</v>
      </c>
      <c r="C34" s="2"/>
      <c r="D34" s="14">
        <v>11</v>
      </c>
      <c r="E34" s="2">
        <f t="shared" si="3"/>
        <v>15400</v>
      </c>
      <c r="F34" s="14">
        <v>8</v>
      </c>
      <c r="G34" s="2">
        <f t="shared" si="5"/>
        <v>7840</v>
      </c>
      <c r="H34" s="2">
        <f t="shared" si="4"/>
        <v>23240</v>
      </c>
      <c r="S34" s="1" t="s">
        <v>59</v>
      </c>
      <c r="T34" s="1"/>
      <c r="U34" s="3">
        <v>22800</v>
      </c>
      <c r="V34" s="1"/>
      <c r="Y34" s="1" t="s">
        <v>59</v>
      </c>
      <c r="Z34" s="1"/>
      <c r="AA34" s="3">
        <v>22800</v>
      </c>
      <c r="AB34" s="1"/>
      <c r="AE34" s="1" t="s">
        <v>59</v>
      </c>
      <c r="AF34" s="1"/>
      <c r="AG34" s="3">
        <v>22800</v>
      </c>
      <c r="AH34" s="1"/>
      <c r="AK34" s="1" t="s">
        <v>59</v>
      </c>
      <c r="AL34" s="1"/>
      <c r="AM34" s="3">
        <v>22800</v>
      </c>
      <c r="AN34" s="1"/>
    </row>
    <row r="35" spans="1:40" ht="12" customHeight="1">
      <c r="C35" s="2"/>
      <c r="E35" s="2"/>
      <c r="G35" s="2"/>
      <c r="H35" s="2"/>
      <c r="S35" s="1" t="s">
        <v>60</v>
      </c>
      <c r="T35" s="1"/>
      <c r="U35" s="3">
        <v>5400</v>
      </c>
      <c r="V35" s="1"/>
      <c r="Y35" s="1" t="s">
        <v>60</v>
      </c>
      <c r="Z35" s="1"/>
      <c r="AA35" s="3">
        <v>5400</v>
      </c>
      <c r="AB35" s="1"/>
      <c r="AE35" s="1" t="s">
        <v>60</v>
      </c>
      <c r="AF35" s="1"/>
      <c r="AG35" s="3">
        <v>5400</v>
      </c>
      <c r="AH35" s="1"/>
      <c r="AK35" s="1" t="s">
        <v>60</v>
      </c>
      <c r="AL35" s="1"/>
      <c r="AM35" s="3">
        <v>5400</v>
      </c>
      <c r="AN35" s="1"/>
    </row>
    <row r="36" spans="1:40">
      <c r="A36" s="13" t="s">
        <v>47</v>
      </c>
      <c r="E36" s="12">
        <f>SUM(E23:E35)</f>
        <v>330175</v>
      </c>
      <c r="F36" s="12"/>
      <c r="G36" s="12">
        <f>SUM(G23:G35)</f>
        <v>170072.5</v>
      </c>
      <c r="H36" s="4">
        <f>SUM(H23:H35)</f>
        <v>500247.5</v>
      </c>
      <c r="S36" s="1"/>
      <c r="T36" s="1"/>
      <c r="U36" s="3"/>
      <c r="V36" s="3">
        <f>SUM(U34:U35)</f>
        <v>28200</v>
      </c>
      <c r="Y36" s="1"/>
      <c r="Z36" s="1"/>
      <c r="AA36" s="3"/>
      <c r="AB36" s="3">
        <f>SUM(AA34:AA35)</f>
        <v>28200</v>
      </c>
      <c r="AE36" s="1"/>
      <c r="AF36" s="1"/>
      <c r="AG36" s="3"/>
      <c r="AH36" s="3">
        <f>SUM(AG34:AG35)</f>
        <v>28200</v>
      </c>
      <c r="AK36" s="1"/>
      <c r="AL36" s="1"/>
      <c r="AM36" s="3"/>
      <c r="AN36" s="3">
        <f>SUM(AM34:AM35)</f>
        <v>28200</v>
      </c>
    </row>
    <row r="37" spans="1:40">
      <c r="S37" s="5" t="s">
        <v>13</v>
      </c>
      <c r="T37" s="1"/>
      <c r="U37" s="3"/>
      <c r="V37" s="1"/>
      <c r="Y37" s="5" t="s">
        <v>13</v>
      </c>
      <c r="Z37" s="1"/>
      <c r="AA37" s="3"/>
      <c r="AB37" s="1"/>
      <c r="AE37" s="5" t="s">
        <v>13</v>
      </c>
      <c r="AF37" s="1"/>
      <c r="AG37" s="3"/>
      <c r="AH37" s="1"/>
      <c r="AK37" s="5" t="s">
        <v>13</v>
      </c>
      <c r="AL37" s="1"/>
      <c r="AM37" s="3"/>
      <c r="AN37" s="1"/>
    </row>
    <row r="38" spans="1:40">
      <c r="S38" s="1" t="s">
        <v>14</v>
      </c>
      <c r="T38" s="1"/>
      <c r="U38" s="3">
        <v>8400</v>
      </c>
      <c r="V38" s="1"/>
      <c r="Y38" s="1" t="s">
        <v>14</v>
      </c>
      <c r="Z38" s="1"/>
      <c r="AA38" s="3">
        <v>8400</v>
      </c>
      <c r="AB38" s="1"/>
      <c r="AE38" s="1" t="s">
        <v>14</v>
      </c>
      <c r="AF38" s="1"/>
      <c r="AG38" s="3">
        <v>8400</v>
      </c>
      <c r="AH38" s="1"/>
      <c r="AK38" s="1" t="s">
        <v>14</v>
      </c>
      <c r="AL38" s="1"/>
      <c r="AM38" s="3">
        <v>8400</v>
      </c>
      <c r="AN38" s="1"/>
    </row>
    <row r="39" spans="1:40">
      <c r="S39" s="1" t="s">
        <v>61</v>
      </c>
      <c r="T39" s="1"/>
      <c r="U39" s="3">
        <v>12000</v>
      </c>
      <c r="V39" s="1"/>
      <c r="Y39" s="1" t="s">
        <v>61</v>
      </c>
      <c r="Z39" s="1"/>
      <c r="AA39" s="3">
        <v>12000</v>
      </c>
      <c r="AB39" s="1"/>
      <c r="AE39" s="1" t="s">
        <v>61</v>
      </c>
      <c r="AF39" s="1"/>
      <c r="AG39" s="3">
        <v>12000</v>
      </c>
      <c r="AH39" s="1"/>
      <c r="AK39" s="1" t="s">
        <v>61</v>
      </c>
      <c r="AL39" s="1"/>
      <c r="AM39" s="3">
        <v>12000</v>
      </c>
      <c r="AN39" s="1"/>
    </row>
    <row r="40" spans="1:40">
      <c r="S40" s="1" t="s">
        <v>62</v>
      </c>
      <c r="T40" s="1"/>
      <c r="U40" s="3">
        <v>11400</v>
      </c>
      <c r="V40" s="1"/>
      <c r="Y40" s="1" t="s">
        <v>62</v>
      </c>
      <c r="Z40" s="1"/>
      <c r="AA40" s="3">
        <v>11400</v>
      </c>
      <c r="AB40" s="1"/>
      <c r="AE40" s="1" t="s">
        <v>62</v>
      </c>
      <c r="AF40" s="1"/>
      <c r="AG40" s="3">
        <v>11400</v>
      </c>
      <c r="AH40" s="1"/>
      <c r="AK40" s="1" t="s">
        <v>62</v>
      </c>
      <c r="AL40" s="1"/>
      <c r="AM40" s="3">
        <v>11400</v>
      </c>
      <c r="AN40" s="1"/>
    </row>
    <row r="41" spans="1:40">
      <c r="S41" s="1" t="s">
        <v>15</v>
      </c>
      <c r="T41" s="1"/>
      <c r="U41" s="3">
        <v>36000</v>
      </c>
      <c r="V41" s="1"/>
      <c r="Y41" s="1" t="s">
        <v>15</v>
      </c>
      <c r="Z41" s="1"/>
      <c r="AA41" s="3">
        <v>36000</v>
      </c>
      <c r="AB41" s="1"/>
      <c r="AE41" s="1" t="s">
        <v>15</v>
      </c>
      <c r="AF41" s="1"/>
      <c r="AG41" s="3">
        <v>36000</v>
      </c>
      <c r="AH41" s="1"/>
      <c r="AK41" s="1" t="s">
        <v>15</v>
      </c>
      <c r="AL41" s="1"/>
      <c r="AM41" s="3">
        <v>36000</v>
      </c>
      <c r="AN41" s="1"/>
    </row>
    <row r="42" spans="1:40">
      <c r="S42" s="1" t="s">
        <v>16</v>
      </c>
      <c r="T42" s="1"/>
      <c r="U42" s="3">
        <v>600</v>
      </c>
      <c r="V42" s="1"/>
      <c r="Y42" s="1" t="s">
        <v>16</v>
      </c>
      <c r="Z42" s="1"/>
      <c r="AA42" s="3">
        <v>600</v>
      </c>
      <c r="AB42" s="1"/>
      <c r="AE42" s="1" t="s">
        <v>16</v>
      </c>
      <c r="AF42" s="1"/>
      <c r="AG42" s="3">
        <v>600</v>
      </c>
      <c r="AH42" s="1"/>
      <c r="AK42" s="1" t="s">
        <v>16</v>
      </c>
      <c r="AL42" s="1"/>
      <c r="AM42" s="3">
        <v>600</v>
      </c>
      <c r="AN42" s="1"/>
    </row>
    <row r="43" spans="1:40">
      <c r="S43" s="1" t="s">
        <v>67</v>
      </c>
      <c r="T43" s="1"/>
      <c r="U43" s="3">
        <v>1600</v>
      </c>
      <c r="V43" s="1"/>
      <c r="Y43" s="1" t="s">
        <v>67</v>
      </c>
      <c r="Z43" s="1"/>
      <c r="AA43" s="3">
        <v>1600</v>
      </c>
      <c r="AB43" s="1"/>
      <c r="AE43" s="1" t="s">
        <v>67</v>
      </c>
      <c r="AF43" s="1"/>
      <c r="AG43" s="3">
        <v>1600</v>
      </c>
      <c r="AH43" s="1"/>
      <c r="AK43" s="1" t="s">
        <v>67</v>
      </c>
      <c r="AL43" s="1"/>
      <c r="AM43" s="3">
        <v>1600</v>
      </c>
      <c r="AN43" s="1"/>
    </row>
    <row r="44" spans="1:40">
      <c r="S44" s="1" t="s">
        <v>17</v>
      </c>
      <c r="T44" s="1"/>
      <c r="U44" s="3">
        <v>13800</v>
      </c>
      <c r="V44" s="1"/>
      <c r="Y44" s="1" t="s">
        <v>17</v>
      </c>
      <c r="Z44" s="1"/>
      <c r="AA44" s="3">
        <v>13800</v>
      </c>
      <c r="AB44" s="1"/>
      <c r="AE44" s="1" t="s">
        <v>17</v>
      </c>
      <c r="AF44" s="1"/>
      <c r="AG44" s="3">
        <v>13800</v>
      </c>
      <c r="AH44" s="1"/>
      <c r="AK44" s="1" t="s">
        <v>17</v>
      </c>
      <c r="AL44" s="1"/>
      <c r="AM44" s="3">
        <v>13800</v>
      </c>
      <c r="AN44" s="1"/>
    </row>
    <row r="45" spans="1:40">
      <c r="S45" s="1" t="s">
        <v>28</v>
      </c>
      <c r="T45" s="1"/>
      <c r="U45" s="3">
        <v>6000</v>
      </c>
      <c r="V45" s="1"/>
      <c r="Y45" s="1" t="s">
        <v>28</v>
      </c>
      <c r="Z45" s="1"/>
      <c r="AA45" s="3">
        <v>6000</v>
      </c>
      <c r="AB45" s="1"/>
      <c r="AE45" s="1" t="s">
        <v>28</v>
      </c>
      <c r="AF45" s="1"/>
      <c r="AG45" s="3">
        <v>6000</v>
      </c>
      <c r="AH45" s="1"/>
      <c r="AK45" s="1" t="s">
        <v>28</v>
      </c>
      <c r="AL45" s="1"/>
      <c r="AM45" s="3">
        <v>6000</v>
      </c>
      <c r="AN45" s="1"/>
    </row>
    <row r="46" spans="1:40">
      <c r="S46" s="1" t="s">
        <v>104</v>
      </c>
      <c r="T46" s="1"/>
      <c r="U46" s="3">
        <f>SUM(U9)*50%</f>
        <v>23933.250000000004</v>
      </c>
      <c r="V46" s="1"/>
      <c r="Y46" s="1" t="s">
        <v>104</v>
      </c>
      <c r="Z46" s="1"/>
      <c r="AA46" s="3">
        <f>SUM(AA9)*50%</f>
        <v>25262.875000000004</v>
      </c>
      <c r="AB46" s="1"/>
      <c r="AE46" s="1" t="s">
        <v>104</v>
      </c>
      <c r="AF46" s="1"/>
      <c r="AG46" s="3">
        <f>SUM(AG9)*50%</f>
        <v>27922.125000000004</v>
      </c>
      <c r="AH46" s="1"/>
      <c r="AK46" s="1" t="s">
        <v>104</v>
      </c>
      <c r="AL46" s="1"/>
      <c r="AM46" s="3">
        <f>SUM(AM9)*50%</f>
        <v>29251.750000000007</v>
      </c>
      <c r="AN46" s="1"/>
    </row>
    <row r="47" spans="1:40">
      <c r="S47" s="1" t="s">
        <v>18</v>
      </c>
      <c r="T47" s="1"/>
      <c r="U47" s="3">
        <v>5500</v>
      </c>
      <c r="V47" s="1"/>
      <c r="Y47" s="1" t="s">
        <v>18</v>
      </c>
      <c r="Z47" s="1"/>
      <c r="AA47" s="3">
        <v>5500</v>
      </c>
      <c r="AB47" s="1"/>
      <c r="AE47" s="1" t="s">
        <v>18</v>
      </c>
      <c r="AF47" s="1"/>
      <c r="AG47" s="3">
        <v>5500</v>
      </c>
      <c r="AH47" s="1"/>
      <c r="AK47" s="1" t="s">
        <v>18</v>
      </c>
      <c r="AL47" s="1"/>
      <c r="AM47" s="3">
        <v>5500</v>
      </c>
      <c r="AN47" s="1"/>
    </row>
    <row r="48" spans="1:40">
      <c r="S48" s="1"/>
      <c r="T48" s="1"/>
      <c r="U48" s="3"/>
      <c r="V48" s="3">
        <f>SUM(U38:U47)</f>
        <v>119233.25</v>
      </c>
      <c r="Y48" s="1"/>
      <c r="Z48" s="1"/>
      <c r="AA48" s="3"/>
      <c r="AB48" s="3">
        <f>SUM(AA38:AA47)</f>
        <v>120562.875</v>
      </c>
      <c r="AE48" s="1"/>
      <c r="AF48" s="1"/>
      <c r="AG48" s="3"/>
      <c r="AH48" s="3">
        <f>SUM(AG38:AG47)</f>
        <v>123222.125</v>
      </c>
      <c r="AK48" s="1"/>
      <c r="AL48" s="1"/>
      <c r="AM48" s="3"/>
      <c r="AN48" s="3">
        <f>SUM(AM38:AM47)</f>
        <v>124551.75</v>
      </c>
    </row>
    <row r="49" spans="19:40" ht="6" customHeight="1">
      <c r="S49" s="1"/>
      <c r="T49" s="1"/>
      <c r="U49" s="3"/>
      <c r="V49" s="1"/>
      <c r="Y49" s="1"/>
      <c r="Z49" s="1"/>
      <c r="AA49" s="3"/>
      <c r="AB49" s="1"/>
      <c r="AE49" s="1"/>
      <c r="AF49" s="1"/>
      <c r="AG49" s="3"/>
      <c r="AH49" s="1"/>
      <c r="AK49" s="1"/>
      <c r="AL49" s="1"/>
      <c r="AM49" s="3"/>
      <c r="AN49" s="1"/>
    </row>
    <row r="50" spans="19:40">
      <c r="S50" s="1" t="s">
        <v>69</v>
      </c>
      <c r="T50" s="1"/>
      <c r="U50" s="7"/>
      <c r="V50" s="3">
        <f>SUM(V20:V49)</f>
        <v>524307.25</v>
      </c>
      <c r="Y50" s="1" t="s">
        <v>69</v>
      </c>
      <c r="Z50" s="1"/>
      <c r="AA50" s="7"/>
      <c r="AB50" s="3">
        <f>SUM(AB20:AB49)</f>
        <v>533732.875</v>
      </c>
      <c r="AE50" s="1" t="s">
        <v>69</v>
      </c>
      <c r="AF50" s="1"/>
      <c r="AG50" s="7"/>
      <c r="AH50" s="3">
        <f>SUM(AH20:AH49)</f>
        <v>552584.125</v>
      </c>
      <c r="AK50" s="1" t="s">
        <v>69</v>
      </c>
      <c r="AL50" s="1"/>
      <c r="AM50" s="7"/>
      <c r="AN50" s="3">
        <f>SUM(AN20:AN49)</f>
        <v>562009.75</v>
      </c>
    </row>
    <row r="51" spans="19:40" ht="7.05" customHeight="1">
      <c r="S51" s="5"/>
      <c r="T51" s="1"/>
      <c r="U51" s="7"/>
      <c r="V51" s="7"/>
      <c r="Y51" s="5"/>
      <c r="Z51" s="1"/>
      <c r="AA51" s="7"/>
      <c r="AB51" s="7"/>
      <c r="AE51" s="5"/>
      <c r="AF51" s="1"/>
      <c r="AG51" s="7"/>
      <c r="AH51" s="7"/>
      <c r="AK51" s="5"/>
      <c r="AL51" s="1"/>
      <c r="AM51" s="7"/>
      <c r="AN51" s="7"/>
    </row>
    <row r="52" spans="19:40" ht="16.95" customHeight="1">
      <c r="S52" s="1" t="s">
        <v>70</v>
      </c>
      <c r="T52" s="1"/>
      <c r="U52" s="7"/>
      <c r="V52" s="3">
        <f>SUM(V50)*5%</f>
        <v>26215.362500000003</v>
      </c>
      <c r="Y52" s="1" t="s">
        <v>70</v>
      </c>
      <c r="Z52" s="1"/>
      <c r="AA52" s="7"/>
      <c r="AB52" s="3">
        <f>SUM(AB50)*5%</f>
        <v>26686.643750000003</v>
      </c>
      <c r="AE52" s="1" t="s">
        <v>70</v>
      </c>
      <c r="AF52" s="1"/>
      <c r="AG52" s="7"/>
      <c r="AH52" s="3">
        <f>SUM(AH50)*5%</f>
        <v>27629.206250000003</v>
      </c>
      <c r="AK52" s="1" t="s">
        <v>70</v>
      </c>
      <c r="AL52" s="1"/>
      <c r="AM52" s="7"/>
      <c r="AN52" s="3">
        <f>SUM(AN50)*5%</f>
        <v>28100.487500000003</v>
      </c>
    </row>
    <row r="53" spans="19:40" ht="4.95" customHeight="1">
      <c r="S53" s="5"/>
      <c r="T53" s="1"/>
      <c r="U53" s="7"/>
      <c r="V53" s="7"/>
      <c r="Y53" s="5"/>
      <c r="Z53" s="1"/>
      <c r="AA53" s="7"/>
      <c r="AB53" s="7"/>
      <c r="AE53" s="5"/>
      <c r="AF53" s="1"/>
      <c r="AG53" s="7"/>
      <c r="AH53" s="7"/>
      <c r="AK53" s="5"/>
      <c r="AL53" s="1"/>
      <c r="AM53" s="7"/>
      <c r="AN53" s="7"/>
    </row>
    <row r="54" spans="19:40">
      <c r="S54" s="5" t="s">
        <v>47</v>
      </c>
      <c r="T54" s="1"/>
      <c r="U54" s="7"/>
      <c r="V54" s="7">
        <f>SUM(V50)+V52</f>
        <v>550522.61250000005</v>
      </c>
      <c r="Y54" s="5" t="s">
        <v>47</v>
      </c>
      <c r="Z54" s="1"/>
      <c r="AA54" s="7"/>
      <c r="AB54" s="7">
        <f>SUM(AB50)+AB52</f>
        <v>560419.51875000005</v>
      </c>
      <c r="AE54" s="5" t="s">
        <v>47</v>
      </c>
      <c r="AF54" s="1"/>
      <c r="AG54" s="7"/>
      <c r="AH54" s="7">
        <f>SUM(AH50)+AH52</f>
        <v>580213.33125000005</v>
      </c>
      <c r="AK54" s="5" t="s">
        <v>47</v>
      </c>
      <c r="AL54" s="1"/>
      <c r="AM54" s="7"/>
      <c r="AN54" s="7">
        <f>SUM(AN50)+AN52</f>
        <v>590110.23750000005</v>
      </c>
    </row>
    <row r="55" spans="19:40">
      <c r="S55" s="1"/>
      <c r="T55" s="1"/>
      <c r="U55" s="3"/>
      <c r="V55" s="1"/>
      <c r="Y55" s="1"/>
      <c r="Z55" s="1"/>
      <c r="AA55" s="3"/>
      <c r="AB55" s="1"/>
      <c r="AE55" s="1"/>
      <c r="AF55" s="1"/>
      <c r="AG55" s="3"/>
      <c r="AH55" s="1"/>
      <c r="AK55" s="1"/>
      <c r="AL55" s="1"/>
      <c r="AM55" s="3"/>
      <c r="AN55" s="1"/>
    </row>
    <row r="56" spans="19:40">
      <c r="S56" s="17" t="s">
        <v>71</v>
      </c>
      <c r="T56" s="1"/>
      <c r="U56" s="3"/>
      <c r="V56" s="16">
        <f>SUM(V13)-V54</f>
        <v>941.63749999995343</v>
      </c>
      <c r="Y56" s="17" t="s">
        <v>71</v>
      </c>
      <c r="Z56" s="1"/>
      <c r="AA56" s="3"/>
      <c r="AB56" s="16">
        <f>SUM(AB13)-AB54</f>
        <v>21133.856249999953</v>
      </c>
      <c r="AE56" s="17" t="s">
        <v>71</v>
      </c>
      <c r="AF56" s="1"/>
      <c r="AG56" s="3"/>
      <c r="AH56" s="16">
        <f>SUM(AH13)-AH54</f>
        <v>61518.293749999953</v>
      </c>
      <c r="AK56" s="17" t="s">
        <v>71</v>
      </c>
      <c r="AL56" s="1"/>
      <c r="AM56" s="3"/>
      <c r="AN56" s="16">
        <f>SUM(AN13)-AN54</f>
        <v>81710.512499999953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Income and Expenditure</vt:lpstr>
      <vt:lpstr>Staff</vt:lpstr>
      <vt:lpstr>Footfall</vt:lpstr>
      <vt:lpstr>Capital Costs</vt:lpstr>
      <vt:lpstr>Sensitivity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2024-01-10T14:49:44Z</dcterms:created>
  <dcterms:modified xsi:type="dcterms:W3CDTF">2024-01-10T14:49:51Z</dcterms:modified>
</cp:coreProperties>
</file>