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85D7CF2-F4F9-4E21-8C90-526208E3328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inancial Summary" sheetId="1" r:id="rId1"/>
    <sheet name="Income" sheetId="2" r:id="rId2"/>
    <sheet name="Costs Of Sales" sheetId="3" r:id="rId3"/>
    <sheet name="Staffing" sheetId="4" r:id="rId4"/>
    <sheet name="Building Costs" sheetId="5" r:id="rId5"/>
    <sheet name="Marketing " sheetId="6" r:id="rId6"/>
    <sheet name="Finance&amp;Admin" sheetId="7" r:id="rId7"/>
    <sheet name="FLS Rent" sheetId="8" r:id="rId8"/>
    <sheet name="Other Costs" sheetId="9" r:id="rId9"/>
    <sheet name="Capital Invest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778fb76t0dh6zxvTqlHJaUFfPpcRr9jqYl2OP5apyiM="/>
    </ext>
  </extLst>
</workbook>
</file>

<file path=xl/calcChain.xml><?xml version="1.0" encoding="utf-8"?>
<calcChain xmlns="http://schemas.openxmlformats.org/spreadsheetml/2006/main">
  <c r="L10" i="10" l="1"/>
  <c r="K10" i="10"/>
  <c r="J10" i="10"/>
  <c r="I10" i="10"/>
  <c r="H10" i="10"/>
  <c r="G10" i="10"/>
  <c r="F10" i="10"/>
  <c r="E10" i="10"/>
  <c r="D10" i="10"/>
  <c r="C10" i="10"/>
  <c r="B10" i="10"/>
  <c r="M7" i="10"/>
  <c r="M6" i="10"/>
  <c r="M10" i="10" s="1"/>
  <c r="M5" i="10"/>
  <c r="M4" i="10"/>
  <c r="B1" i="10"/>
  <c r="K7" i="9"/>
  <c r="J7" i="9"/>
  <c r="L15" i="1" s="1"/>
  <c r="I7" i="9"/>
  <c r="H7" i="9"/>
  <c r="G7" i="9"/>
  <c r="F7" i="9"/>
  <c r="E7" i="9"/>
  <c r="D7" i="9"/>
  <c r="C7" i="9"/>
  <c r="B7" i="9"/>
  <c r="D15" i="1" s="1"/>
  <c r="L6" i="9"/>
  <c r="L5" i="9"/>
  <c r="L4" i="9"/>
  <c r="L7" i="9" s="1"/>
  <c r="B1" i="9"/>
  <c r="L22" i="8"/>
  <c r="B1" i="8"/>
  <c r="L7" i="7"/>
  <c r="K7" i="7"/>
  <c r="J7" i="7"/>
  <c r="L13" i="1" s="1"/>
  <c r="I7" i="7"/>
  <c r="H7" i="7"/>
  <c r="G7" i="7"/>
  <c r="F7" i="7"/>
  <c r="H13" i="1" s="1"/>
  <c r="E7" i="7"/>
  <c r="D7" i="7"/>
  <c r="F13" i="1" s="1"/>
  <c r="C7" i="7"/>
  <c r="B7" i="7"/>
  <c r="D13" i="1" s="1"/>
  <c r="L6" i="7"/>
  <c r="L5" i="7"/>
  <c r="L4" i="7"/>
  <c r="B1" i="7"/>
  <c r="K8" i="6"/>
  <c r="M12" i="1" s="1"/>
  <c r="J8" i="6"/>
  <c r="I8" i="6"/>
  <c r="K12" i="1" s="1"/>
  <c r="H8" i="6"/>
  <c r="G8" i="6"/>
  <c r="F8" i="6"/>
  <c r="E8" i="6"/>
  <c r="D8" i="6"/>
  <c r="C8" i="6"/>
  <c r="E12" i="1" s="1"/>
  <c r="B8" i="6"/>
  <c r="L7" i="6"/>
  <c r="L6" i="6"/>
  <c r="L5" i="6"/>
  <c r="L4" i="6"/>
  <c r="L8" i="6" s="1"/>
  <c r="B1" i="6"/>
  <c r="K12" i="5"/>
  <c r="M11" i="1" s="1"/>
  <c r="I12" i="5"/>
  <c r="E12" i="5"/>
  <c r="G11" i="1" s="1"/>
  <c r="C12" i="5"/>
  <c r="E11" i="1" s="1"/>
  <c r="L11" i="5"/>
  <c r="L10" i="5"/>
  <c r="K9" i="5"/>
  <c r="J9" i="5"/>
  <c r="I9" i="5"/>
  <c r="H9" i="5"/>
  <c r="G9" i="5"/>
  <c r="F9" i="5"/>
  <c r="F12" i="5" s="1"/>
  <c r="H11" i="1" s="1"/>
  <c r="E9" i="5"/>
  <c r="D9" i="5"/>
  <c r="C9" i="5"/>
  <c r="B9" i="5"/>
  <c r="L9" i="5" s="1"/>
  <c r="L8" i="5"/>
  <c r="L7" i="5"/>
  <c r="L6" i="5"/>
  <c r="L5" i="5"/>
  <c r="D5" i="5"/>
  <c r="C5" i="5"/>
  <c r="B5" i="5"/>
  <c r="K4" i="5"/>
  <c r="J4" i="5"/>
  <c r="J12" i="5" s="1"/>
  <c r="L11" i="1" s="1"/>
  <c r="I4" i="5"/>
  <c r="H4" i="5"/>
  <c r="H12" i="5" s="1"/>
  <c r="J11" i="1" s="1"/>
  <c r="G4" i="5"/>
  <c r="G12" i="5" s="1"/>
  <c r="F4" i="5"/>
  <c r="E4" i="5"/>
  <c r="D4" i="5"/>
  <c r="D12" i="5" s="1"/>
  <c r="F11" i="1" s="1"/>
  <c r="C4" i="5"/>
  <c r="B4" i="5"/>
  <c r="B12" i="5" s="1"/>
  <c r="D11" i="1" s="1"/>
  <c r="B1" i="5"/>
  <c r="L8" i="4"/>
  <c r="L7" i="4"/>
  <c r="K6" i="4"/>
  <c r="J6" i="4"/>
  <c r="I6" i="4"/>
  <c r="E6" i="4"/>
  <c r="C6" i="4"/>
  <c r="B6" i="4"/>
  <c r="L5" i="4"/>
  <c r="K5" i="4"/>
  <c r="J5" i="4"/>
  <c r="I5" i="4"/>
  <c r="H5" i="4"/>
  <c r="H6" i="4" s="1"/>
  <c r="G5" i="4"/>
  <c r="G6" i="4" s="1"/>
  <c r="F5" i="4"/>
  <c r="F6" i="4" s="1"/>
  <c r="E5" i="4"/>
  <c r="E9" i="4" s="1"/>
  <c r="G10" i="1" s="1"/>
  <c r="D5" i="4"/>
  <c r="D6" i="4" s="1"/>
  <c r="C5" i="4"/>
  <c r="B5" i="4"/>
  <c r="K4" i="4"/>
  <c r="K9" i="4" s="1"/>
  <c r="M10" i="1" s="1"/>
  <c r="J4" i="4"/>
  <c r="J9" i="4" s="1"/>
  <c r="L10" i="1" s="1"/>
  <c r="I4" i="4"/>
  <c r="I9" i="4" s="1"/>
  <c r="K10" i="1" s="1"/>
  <c r="H4" i="4"/>
  <c r="G4" i="4"/>
  <c r="F4" i="4"/>
  <c r="E4" i="4"/>
  <c r="D4" i="4"/>
  <c r="C4" i="4"/>
  <c r="C9" i="4" s="1"/>
  <c r="E10" i="1" s="1"/>
  <c r="B4" i="4"/>
  <c r="B9" i="4" s="1"/>
  <c r="B1" i="4"/>
  <c r="K8" i="3"/>
  <c r="M7" i="1" s="1"/>
  <c r="G8" i="3"/>
  <c r="I7" i="1" s="1"/>
  <c r="E8" i="3"/>
  <c r="G7" i="1" s="1"/>
  <c r="C8" i="3"/>
  <c r="E7" i="1" s="1"/>
  <c r="L7" i="3"/>
  <c r="L6" i="3"/>
  <c r="K5" i="3"/>
  <c r="J5" i="3"/>
  <c r="J8" i="3" s="1"/>
  <c r="I5" i="3"/>
  <c r="I8" i="3" s="1"/>
  <c r="K7" i="1" s="1"/>
  <c r="H5" i="3"/>
  <c r="H8" i="3" s="1"/>
  <c r="G5" i="3"/>
  <c r="F5" i="3"/>
  <c r="F8" i="3" s="1"/>
  <c r="H7" i="1" s="1"/>
  <c r="E5" i="3"/>
  <c r="D5" i="3"/>
  <c r="D8" i="3" s="1"/>
  <c r="F7" i="1" s="1"/>
  <c r="C5" i="3"/>
  <c r="B5" i="3"/>
  <c r="B8" i="3" s="1"/>
  <c r="D7" i="1" s="1"/>
  <c r="N7" i="1" s="1"/>
  <c r="L4" i="3"/>
  <c r="B1" i="3"/>
  <c r="E9" i="2"/>
  <c r="E19" i="8" s="1"/>
  <c r="E21" i="8" s="1"/>
  <c r="E23" i="8" s="1"/>
  <c r="E4" i="8" s="1"/>
  <c r="E5" i="8" s="1"/>
  <c r="G14" i="1" s="1"/>
  <c r="K8" i="2"/>
  <c r="J8" i="2"/>
  <c r="J9" i="2" s="1"/>
  <c r="I8" i="2"/>
  <c r="H8" i="2"/>
  <c r="G8" i="2"/>
  <c r="F8" i="2"/>
  <c r="E8" i="2"/>
  <c r="D8" i="2"/>
  <c r="C8" i="2"/>
  <c r="B8" i="2"/>
  <c r="B9" i="2" s="1"/>
  <c r="L7" i="2"/>
  <c r="K6" i="2"/>
  <c r="J6" i="2"/>
  <c r="I6" i="2"/>
  <c r="H6" i="2"/>
  <c r="G6" i="2"/>
  <c r="F6" i="2"/>
  <c r="F9" i="2" s="1"/>
  <c r="E6" i="2"/>
  <c r="D6" i="2"/>
  <c r="L6" i="2" s="1"/>
  <c r="C6" i="2"/>
  <c r="B6" i="2"/>
  <c r="K5" i="2"/>
  <c r="K9" i="2" s="1"/>
  <c r="K19" i="8" s="1"/>
  <c r="K21" i="8" s="1"/>
  <c r="K23" i="8" s="1"/>
  <c r="K4" i="8" s="1"/>
  <c r="K5" i="8" s="1"/>
  <c r="M14" i="1" s="1"/>
  <c r="J5" i="2"/>
  <c r="I5" i="2"/>
  <c r="I9" i="2" s="1"/>
  <c r="H5" i="2"/>
  <c r="G5" i="2"/>
  <c r="G9" i="2" s="1"/>
  <c r="F5" i="2"/>
  <c r="E5" i="2"/>
  <c r="D5" i="2"/>
  <c r="C5" i="2"/>
  <c r="L5" i="2" s="1"/>
  <c r="B5" i="2"/>
  <c r="B1" i="2"/>
  <c r="M21" i="1"/>
  <c r="L21" i="1"/>
  <c r="K21" i="1"/>
  <c r="J21" i="1"/>
  <c r="I21" i="1"/>
  <c r="H21" i="1"/>
  <c r="G21" i="1"/>
  <c r="F21" i="1"/>
  <c r="E21" i="1"/>
  <c r="D21" i="1"/>
  <c r="C21" i="1"/>
  <c r="M15" i="1"/>
  <c r="K15" i="1"/>
  <c r="J15" i="1"/>
  <c r="I15" i="1"/>
  <c r="H15" i="1"/>
  <c r="G15" i="1"/>
  <c r="F15" i="1"/>
  <c r="E15" i="1"/>
  <c r="M13" i="1"/>
  <c r="K13" i="1"/>
  <c r="J13" i="1"/>
  <c r="I13" i="1"/>
  <c r="G13" i="1"/>
  <c r="E13" i="1"/>
  <c r="N12" i="1"/>
  <c r="L12" i="1"/>
  <c r="J12" i="1"/>
  <c r="I12" i="1"/>
  <c r="H12" i="1"/>
  <c r="G12" i="1"/>
  <c r="F12" i="1"/>
  <c r="D12" i="1"/>
  <c r="K11" i="1"/>
  <c r="I11" i="1"/>
  <c r="D10" i="1"/>
  <c r="L7" i="1"/>
  <c r="J7" i="1"/>
  <c r="M6" i="1"/>
  <c r="M8" i="1" s="1"/>
  <c r="G6" i="1" l="1"/>
  <c r="G8" i="1" s="1"/>
  <c r="G18" i="1" s="1"/>
  <c r="G23" i="1" s="1"/>
  <c r="N11" i="1"/>
  <c r="M18" i="1"/>
  <c r="M23" i="1" s="1"/>
  <c r="G19" i="8"/>
  <c r="G21" i="8" s="1"/>
  <c r="G23" i="8" s="1"/>
  <c r="G4" i="8" s="1"/>
  <c r="G5" i="8" s="1"/>
  <c r="I14" i="1" s="1"/>
  <c r="I6" i="1"/>
  <c r="I8" i="1" s="1"/>
  <c r="M16" i="1"/>
  <c r="C23" i="1"/>
  <c r="N21" i="1"/>
  <c r="H9" i="2"/>
  <c r="H6" i="1"/>
  <c r="H8" i="1" s="1"/>
  <c r="F19" i="8"/>
  <c r="F21" i="8" s="1"/>
  <c r="F23" i="8" s="1"/>
  <c r="F4" i="8" s="1"/>
  <c r="F5" i="8" s="1"/>
  <c r="H14" i="1" s="1"/>
  <c r="D6" i="1"/>
  <c r="B19" i="8"/>
  <c r="L6" i="1"/>
  <c r="L8" i="1" s="1"/>
  <c r="J19" i="8"/>
  <c r="J21" i="8" s="1"/>
  <c r="J23" i="8" s="1"/>
  <c r="J4" i="8" s="1"/>
  <c r="J5" i="8" s="1"/>
  <c r="L14" i="1" s="1"/>
  <c r="L16" i="1" s="1"/>
  <c r="I19" i="8"/>
  <c r="I21" i="8" s="1"/>
  <c r="I23" i="8" s="1"/>
  <c r="I4" i="8" s="1"/>
  <c r="I5" i="8" s="1"/>
  <c r="K14" i="1" s="1"/>
  <c r="K16" i="1" s="1"/>
  <c r="K6" i="1"/>
  <c r="K8" i="1" s="1"/>
  <c r="N13" i="1"/>
  <c r="G9" i="4"/>
  <c r="I10" i="1" s="1"/>
  <c r="G16" i="1"/>
  <c r="L6" i="4"/>
  <c r="D9" i="4"/>
  <c r="F10" i="1" s="1"/>
  <c r="N15" i="1"/>
  <c r="L9" i="2"/>
  <c r="D9" i="2"/>
  <c r="L8" i="3"/>
  <c r="F9" i="4"/>
  <c r="H10" i="1" s="1"/>
  <c r="H16" i="1" s="1"/>
  <c r="L8" i="2"/>
  <c r="L5" i="3"/>
  <c r="H9" i="4"/>
  <c r="J10" i="1" s="1"/>
  <c r="L4" i="5"/>
  <c r="L12" i="5" s="1"/>
  <c r="L4" i="4"/>
  <c r="L9" i="4" s="1"/>
  <c r="C9" i="2"/>
  <c r="H19" i="8" l="1"/>
  <c r="H21" i="8" s="1"/>
  <c r="H23" i="8" s="1"/>
  <c r="H4" i="8" s="1"/>
  <c r="H5" i="8" s="1"/>
  <c r="J14" i="1" s="1"/>
  <c r="J6" i="1"/>
  <c r="J8" i="1" s="1"/>
  <c r="C42" i="1"/>
  <c r="I16" i="1"/>
  <c r="I18" i="1"/>
  <c r="I23" i="1" s="1"/>
  <c r="C19" i="8"/>
  <c r="C21" i="8" s="1"/>
  <c r="C23" i="8" s="1"/>
  <c r="C4" i="8" s="1"/>
  <c r="C5" i="8" s="1"/>
  <c r="E14" i="1" s="1"/>
  <c r="E16" i="1" s="1"/>
  <c r="E6" i="1"/>
  <c r="E8" i="1" s="1"/>
  <c r="E18" i="1" s="1"/>
  <c r="E23" i="1" s="1"/>
  <c r="K18" i="1"/>
  <c r="K23" i="1" s="1"/>
  <c r="L18" i="1"/>
  <c r="L23" i="1" s="1"/>
  <c r="H18" i="1"/>
  <c r="H23" i="1" s="1"/>
  <c r="F6" i="1"/>
  <c r="F8" i="1" s="1"/>
  <c r="D19" i="8"/>
  <c r="D21" i="8" s="1"/>
  <c r="D23" i="8" s="1"/>
  <c r="D4" i="8" s="1"/>
  <c r="D5" i="8" s="1"/>
  <c r="F14" i="1" s="1"/>
  <c r="F16" i="1" s="1"/>
  <c r="J16" i="1"/>
  <c r="N10" i="1"/>
  <c r="B21" i="8"/>
  <c r="D8" i="1"/>
  <c r="B23" i="8" l="1"/>
  <c r="L21" i="8"/>
  <c r="F18" i="1"/>
  <c r="F23" i="1" s="1"/>
  <c r="C43" i="1"/>
  <c r="N6" i="1"/>
  <c r="N8" i="1" s="1"/>
  <c r="L19" i="8"/>
  <c r="J18" i="1"/>
  <c r="J23" i="1" s="1"/>
  <c r="L23" i="8" l="1"/>
  <c r="B4" i="8"/>
  <c r="B5" i="8" l="1"/>
  <c r="D14" i="1" s="1"/>
  <c r="L4" i="8"/>
  <c r="L5" i="8" s="1"/>
  <c r="N14" i="1" l="1"/>
  <c r="N16" i="1" s="1"/>
  <c r="D16" i="1"/>
  <c r="D18" i="1" s="1"/>
  <c r="N18" i="1" l="1"/>
  <c r="D23" i="1"/>
  <c r="D29" i="1" l="1"/>
  <c r="D25" i="1" a="1"/>
  <c r="D25" i="1" s="1"/>
  <c r="N23" i="1"/>
  <c r="D42" i="1"/>
  <c r="E42" i="1" l="1"/>
  <c r="F42" i="1" s="1"/>
  <c r="G42" i="1" s="1"/>
  <c r="H42" i="1" s="1"/>
  <c r="I42" i="1" s="1"/>
  <c r="J42" i="1" s="1"/>
  <c r="K42" i="1" s="1"/>
  <c r="L42" i="1" s="1"/>
  <c r="M42" i="1" s="1"/>
  <c r="D43" i="1"/>
  <c r="E43" i="1" l="1"/>
  <c r="F43" i="1" s="1"/>
  <c r="G43" i="1" s="1"/>
  <c r="H43" i="1" s="1"/>
  <c r="I43" i="1" s="1"/>
  <c r="J43" i="1" s="1"/>
  <c r="K43" i="1" s="1"/>
  <c r="L43" i="1" s="1"/>
  <c r="M43" i="1" s="1"/>
  <c r="D27" i="1"/>
</calcChain>
</file>

<file path=xl/sharedStrings.xml><?xml version="1.0" encoding="utf-8"?>
<sst xmlns="http://schemas.openxmlformats.org/spreadsheetml/2006/main" count="350" uniqueCount="189">
  <si>
    <t>Income &amp; Expenditure (£k)</t>
  </si>
  <si>
    <t>Please enter your Business name here:</t>
  </si>
  <si>
    <t>Gravitate North East Pitfichie Hill</t>
  </si>
  <si>
    <t>Please enter discount rate for NPV calculation here:</t>
  </si>
  <si>
    <t>Source Worksheet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</si>
  <si>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</si>
  <si>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</si>
  <si>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</si>
  <si>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</si>
  <si>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</si>
  <si>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</si>
  <si>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</si>
  <si>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</si>
  <si>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</si>
  <si>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</si>
  <si>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Total</t>
  </si>
  <si>
    <t>Income</t>
  </si>
  <si>
    <t xml:space="preserve">Gross Turnover (Net of VAT) </t>
  </si>
  <si>
    <t>Cost of Sales</t>
  </si>
  <si>
    <t>Costs Of Sales</t>
  </si>
  <si>
    <t>Gross Profit</t>
  </si>
  <si>
    <t>Staffing</t>
  </si>
  <si>
    <t>Building Costs</t>
  </si>
  <si>
    <t>Building</t>
  </si>
  <si>
    <t>Marketing</t>
  </si>
  <si>
    <t>Finance &amp; Admin</t>
  </si>
  <si>
    <t>Finance and Admin</t>
  </si>
  <si>
    <t>FLS Rent</t>
  </si>
  <si>
    <t>Other Costs</t>
  </si>
  <si>
    <t>Total Operating Costs</t>
  </si>
  <si>
    <t>Net Profit</t>
  </si>
  <si>
    <t>Start-Up</t>
  </si>
  <si>
    <t>Capital Invest</t>
  </si>
  <si>
    <t>Capital Investment</t>
  </si>
  <si>
    <t>Cashflows</t>
  </si>
  <si>
    <t>Net Present Value</t>
  </si>
  <si>
    <t>Pay Back (Years) On Start-up Investment</t>
  </si>
  <si>
    <t>Internal Rate of Return</t>
  </si>
  <si>
    <t>Notes for all tabs:</t>
  </si>
  <si>
    <t>Please supply this spreadsheet in Excel</t>
  </si>
  <si>
    <t>Please show your figures in thousands (£k)</t>
  </si>
  <si>
    <t>Only fields marked in yellow are available for input.</t>
  </si>
  <si>
    <t>On the following 9 input worksheets, you may add rows in the yellow input sections as required.</t>
  </si>
  <si>
    <t>Do not attempt to change any non yellow fields. If you have any questions or comments on formulas, please contact Visitor Commercial Manager.</t>
  </si>
  <si>
    <t>Please don’t include depreciation into your figures</t>
  </si>
  <si>
    <t>All figures net of VAT</t>
  </si>
  <si>
    <t>Don't include Business Tax caculations</t>
  </si>
  <si>
    <t>Payback:</t>
  </si>
  <si>
    <t>Cumulative Cash Flow (undiscounted)</t>
  </si>
  <si>
    <t>Years</t>
  </si>
  <si>
    <t>Business Name:</t>
  </si>
  <si>
    <t>Income - (Gross Turnover -Net of VAT)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</si>
  <si>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</si>
  <si>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</si>
  <si>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</si>
  <si>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</si>
  <si>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</si>
  <si>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</si>
  <si>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</si>
  <si>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</si>
  <si>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</si>
  <si>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</si>
  <si>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Car Park Tickets (20,000 visitors, 10,000 cars @ £3.5/car. 25% non-payers, excluding uplift tickets</t>
  </si>
  <si>
    <t>Coaching Camps and Brand Events Fees</t>
  </si>
  <si>
    <t>Donations</t>
  </si>
  <si>
    <t>Uplift Ticket Sales</t>
  </si>
  <si>
    <t>On this tab you will need to calculate your projected income. We will need to understand:</t>
  </si>
  <si>
    <t>1. Gross Turnover - (you will need this to calculate the projected rent due to  FLS on Worksheet 'FLS Rent').</t>
  </si>
  <si>
    <t>2. Separate income streams from the different parts of your proposed operations .</t>
  </si>
  <si>
    <t xml:space="preserve">3. Please include information on how you have reached your figures. </t>
  </si>
  <si>
    <t>Notes:</t>
  </si>
  <si>
    <t xml:space="preserve">Gross Turnover is defined as: Total Turnover (Sales) net of VAT (or less VAT).  </t>
  </si>
  <si>
    <t>Supplement information which support your calculations can be included below or on a new tab.</t>
  </si>
  <si>
    <t xml:space="preserve">The headings in the table above are for reference - display the information in a way that you think best outlines your proposal </t>
  </si>
  <si>
    <t>Car Park Tickets</t>
  </si>
  <si>
    <t>Based on visitor numbers from simlar facilities and trail app data in Aberdeenshire, An annual average of 20,000 riders a year, starting at 30,000 then dropping down over 2 years. Assume that on average car occupacy is just under 2 per car. Assume a purchase price of £3.50/car)</t>
  </si>
  <si>
    <t>Downhill Race Events Fees</t>
  </si>
  <si>
    <t>Based attendance at similar  events  in the area: 4xJunior DH events = 150 visitors, 1x endurance race = 200 visitors, 1x national event = 200 visitors</t>
  </si>
  <si>
    <t>Coaching Camps and Brand Events</t>
  </si>
  <si>
    <t>Based on attedndence at similar events in the area: I brand event = 200 visitors, 40 coaching courses each 8 riders = 320</t>
  </si>
  <si>
    <t>Event fees and donations arising from above.</t>
  </si>
  <si>
    <t>Based on industry prices (£35), and max capacity of 36 tickets a day, 4 days a week, max 50 weeks a year @ 50% occupancy p.a., those on uplift don't pay for parking</t>
  </si>
  <si>
    <t>Website Maintenance and online payment</t>
  </si>
  <si>
    <t>Diesel Costs</t>
  </si>
  <si>
    <t>MOT &amp; TAX</t>
  </si>
  <si>
    <t>Event Support</t>
  </si>
  <si>
    <t>Please include your Cost of Sales estimates on this tab:</t>
  </si>
  <si>
    <t>1. Separate COS from the different parts of your proposed operations</t>
  </si>
  <si>
    <t xml:space="preserve">2. Please include information on how you have reached your figures. </t>
  </si>
  <si>
    <t>Supplementary information which support your calculations can be included below or on a new tab.</t>
  </si>
  <si>
    <t>based on , working 4 days a week, 45 weeks a year, 8 hours a day,  2 vans, 3 round trips  an hour, return distance of 6 km, @9L/100km @£1.44/L and 85% occupancy</t>
  </si>
  <si>
    <t>Assume c.£1000 of financial support for events. Licencing, Marshalls, Signage.</t>
  </si>
  <si>
    <t>Volunteer Crew Training</t>
  </si>
  <si>
    <t>Driver Costs</t>
  </si>
  <si>
    <t>Employer's Costs</t>
  </si>
  <si>
    <t>xxxx staff</t>
  </si>
  <si>
    <t>Please include your Total Staff Cost estimates on this tab including staff on costs (Employer NI, training etc)</t>
  </si>
  <si>
    <t>1. Separate staff costs from the different parts of your proposed operations</t>
  </si>
  <si>
    <t>Supplementary information which support your calculations must be included below or on a new tab,</t>
  </si>
  <si>
    <t>6 x DIRTT Course Candidates, 6 x First Aid, 2 x Strimmer Course (Higher in early years to develop staff levels)</t>
  </si>
  <si>
    <t>Drivers</t>
  </si>
  <si>
    <t>2 drivers, 4 days a week, 45 weeks a year, £14/hr</t>
  </si>
  <si>
    <t>Trail Maintenance Contract</t>
  </si>
  <si>
    <t>Toilet Maintenance Contract</t>
  </si>
  <si>
    <t>Signage</t>
  </si>
  <si>
    <t>Tools and Storage</t>
  </si>
  <si>
    <t>Road Maintenance Costs</t>
  </si>
  <si>
    <t>Vehicle and Trailer Maintenance</t>
  </si>
  <si>
    <t>Uplift Consumables</t>
  </si>
  <si>
    <t>Storage &amp; Security</t>
  </si>
  <si>
    <t xml:space="preserve">Total </t>
  </si>
  <si>
    <t>Please include any Building cost estimates on this tab e.g. Cleaning, Rates , Maintenance etc</t>
  </si>
  <si>
    <t>Contractor (machinery and plant) for forestry, trail and road management, escalated for user numbers. based on 2% of trail captial costs with vounteer contribution.</t>
  </si>
  <si>
    <t>local contractor rates</t>
  </si>
  <si>
    <t>replacement and additional site signage</t>
  </si>
  <si>
    <t>Estimation for  3 km  of steep raod used for uplift.</t>
  </si>
  <si>
    <t>Allowance of £3000 per vehicle and trailer</t>
  </si>
  <si>
    <t>Straps / Bike Security / Bike Stands/work gloves/PPE</t>
  </si>
  <si>
    <t xml:space="preserve">Marketing </t>
  </si>
  <si>
    <t>Please include your Marketing cost estimates on this tab</t>
  </si>
  <si>
    <t xml:space="preserve">Martketing </t>
  </si>
  <si>
    <t>Social media management and  promotion, reducing once site is established.</t>
  </si>
  <si>
    <t>Accountancy</t>
  </si>
  <si>
    <t>Public Liability Insurance</t>
  </si>
  <si>
    <t>Vehicle Insurance</t>
  </si>
  <si>
    <t>Please include your Finance and Admin costs on this tab</t>
  </si>
  <si>
    <t xml:space="preserve">Rental charge to be paid to FLS </t>
  </si>
  <si>
    <t xml:space="preserve">Please include your estimates on Rent due to FLS on this tab - you should use the turnover </t>
  </si>
  <si>
    <t>information you supplied on Worksheet - 'Income'</t>
  </si>
  <si>
    <t>Note:</t>
  </si>
  <si>
    <t xml:space="preserve">Row 4 above is a formula derived from below: </t>
  </si>
  <si>
    <t>Row 19 is Turnover copied from worksheet 'Income'</t>
  </si>
  <si>
    <t xml:space="preserve">Row 20. You will update with % Rate to be applied to Turnover to generate rental charge. </t>
  </si>
  <si>
    <t>Row 21 will generate the rental charge you will pay to FLS based upon Turnover and your % rate.</t>
  </si>
  <si>
    <t>Row 22 is the minimum base rent proposed by applicant.</t>
  </si>
  <si>
    <t>Row 23 is greater of Rental charge per Turnover and Minimum base rent  proposed by applicant. This value is copied to row 4 above.</t>
  </si>
  <si>
    <t>Turnover from Tab - Income</t>
  </si>
  <si>
    <t xml:space="preserve">% Rate to be applied to Turnover </t>
  </si>
  <si>
    <t>Rental charge to be paid to FLS per Turnover</t>
  </si>
  <si>
    <t xml:space="preserve">Minimum base rent </t>
  </si>
  <si>
    <t>Greater of Rental charge per Turnover and Minimum base rent proposed by applicant.</t>
  </si>
  <si>
    <t>Decommisioning and Storm Reserve</t>
  </si>
  <si>
    <t>xxxx</t>
  </si>
  <si>
    <t>Please include any other cost estimates on this tab</t>
  </si>
  <si>
    <t>Decommisioning and Storm Fund</t>
  </si>
  <si>
    <t>A fund to enable the site to be decommisioned should it have to close, or to deal with an unexpected event such as a storm or disease.</t>
  </si>
  <si>
    <t>Assume that the fund accrues at £5000 p.a. until £15000</t>
  </si>
  <si>
    <t>Initial capital</t>
  </si>
  <si>
    <t>Trail and Car Park Constrcution</t>
  </si>
  <si>
    <t>Shelter, Benches, Container, Fencing, Gates</t>
  </si>
  <si>
    <t>Parking Meter Solar Powered Unit</t>
  </si>
  <si>
    <t>No Discharge Toilets</t>
  </si>
  <si>
    <t>Funding Method</t>
  </si>
  <si>
    <t>xx</t>
  </si>
  <si>
    <t>Pending Award</t>
  </si>
  <si>
    <t>Just Transition Application 1 via NEAT/ONE</t>
  </si>
  <si>
    <t>£57,000</t>
  </si>
  <si>
    <t>Cycling Facilities Fund</t>
  </si>
  <si>
    <t>£500,000</t>
  </si>
  <si>
    <t>Just Transition Application 1.1 via NEAT/ONE</t>
  </si>
  <si>
    <t>£300,000</t>
  </si>
  <si>
    <t>Other Funding Potetnial Sources</t>
  </si>
  <si>
    <t>Co-Op Community Fund</t>
  </si>
  <si>
    <t>£1,000</t>
  </si>
  <si>
    <t>Tesco Community Funding</t>
  </si>
  <si>
    <t>Aberdeenshire Council Rural Challenge Fund</t>
  </si>
  <si>
    <t>£49,999</t>
  </si>
  <si>
    <t>Gordon and Ena Baxter Foundation</t>
  </si>
  <si>
    <t>£25,000</t>
  </si>
  <si>
    <t>Aberdeenshire Charities Trust</t>
  </si>
  <si>
    <t>Aldi Scottish Sports Fund</t>
  </si>
  <si>
    <t>£3,000</t>
  </si>
  <si>
    <t>Granite Heart Fund</t>
  </si>
  <si>
    <t>£350</t>
  </si>
  <si>
    <t>Live Life Aberdeenshire Sport fro Change Fund</t>
  </si>
  <si>
    <t>Muirden Energy Community Benefit Fund</t>
  </si>
  <si>
    <t>£100,000</t>
  </si>
  <si>
    <t>The Aberbrothock Skea Trust</t>
  </si>
  <si>
    <t>£500</t>
  </si>
  <si>
    <t>The Jo Walters Trust</t>
  </si>
  <si>
    <t>£2,000</t>
  </si>
  <si>
    <t>Please include your intended capital investment on this tab:</t>
  </si>
  <si>
    <t>1. Separate capital investment from the different parts of your proposed operations</t>
  </si>
  <si>
    <t>2. Please clearly define capital required at start-up and any proposed investment in future years separately</t>
  </si>
  <si>
    <t>3. Include full details of how any capital investment will be funded. FLS may ask for proof of availability of funds</t>
  </si>
  <si>
    <t xml:space="preserve">4. Please include information on how you have reached your figures. </t>
  </si>
  <si>
    <t>Supplement information regarding your calculations can be included below or on a new tab</t>
  </si>
  <si>
    <t>Trail and Car Park Construction</t>
  </si>
  <si>
    <t>Construction is to be grant funded and from charitable donations.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</si>
</sst>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164" formatCode="0.0%"/>
    <numFmt numFmtId="165" formatCode="_-* #,##0_-;\-* #,##0_-;_-* &quot;-&quot;??_-;_-@"/>
    <numFmt numFmtId="166" formatCode="_-* #,##0.00_-;\-* #,##0.00_-;_-* &quot;-&quot;??_-;_-@"/>
  </numFmts>
  <fonts count="16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8"/>
      <color theme="1"/>
      <name val="Calibri"/>
    </font>
    <font>
      <b/>
      <u/>
      <sz val="11"/>
      <color theme="1"/>
      <name val="Calibri"/>
    </font>
    <font>
      <u/>
      <sz val="11"/>
      <color theme="1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sz val="10"/>
      <color theme="1"/>
      <name val="Trebuchet MS"/>
    </font>
    <font>
      <b/>
      <sz val="11"/>
      <color rgb="FF000000"/>
      <name val="Arial"/>
    </font>
    <font>
      <sz val="11"/>
      <color rgb="FF000000"/>
      <name val="&quot;Aptos Narrow&quot;"/>
    </font>
    <font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64" fontId="1" fillId="2" borderId="4" xfId="0" applyNumberFormat="1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2" fillId="3" borderId="5" xfId="0" applyFont="1" applyFill="1" applyBorder="1" applyAlignment="1">
      <alignment vertical="center"/>
    </xf>
    <xf numFmtId="165" fontId="2" fillId="3" borderId="5" xfId="0" applyNumberFormat="1" applyFont="1" applyFill="1" applyBorder="1" applyAlignment="1">
      <alignment vertical="center"/>
    </xf>
    <xf numFmtId="165" fontId="2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4" xfId="0" applyNumberFormat="1" applyFont="1" applyBorder="1" applyAlignment="1">
      <alignment vertical="center"/>
    </xf>
    <xf numFmtId="165" fontId="6" fillId="0" borderId="0" xfId="0" applyNumberFormat="1" applyFont="1"/>
    <xf numFmtId="9" fontId="6" fillId="0" borderId="0" xfId="0" applyNumberFormat="1" applyFont="1"/>
    <xf numFmtId="8" fontId="6" fillId="0" borderId="0" xfId="0" applyNumberFormat="1" applyFont="1"/>
    <xf numFmtId="165" fontId="5" fillId="3" borderId="5" xfId="0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165" fontId="5" fillId="3" borderId="4" xfId="0" applyNumberFormat="1" applyFont="1" applyFill="1" applyBorder="1" applyAlignment="1">
      <alignment vertical="center"/>
    </xf>
    <xf numFmtId="6" fontId="5" fillId="3" borderId="4" xfId="0" applyNumberFormat="1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5" fillId="3" borderId="4" xfId="0" applyFont="1" applyFill="1" applyBorder="1" applyAlignment="1">
      <alignment vertical="center"/>
    </xf>
    <xf numFmtId="166" fontId="6" fillId="0" borderId="0" xfId="0" applyNumberFormat="1" applyFont="1"/>
    <xf numFmtId="164" fontId="6" fillId="3" borderId="4" xfId="0" applyNumberFormat="1" applyFont="1" applyFill="1" applyBorder="1"/>
    <xf numFmtId="0" fontId="8" fillId="0" borderId="0" xfId="0" applyFont="1"/>
    <xf numFmtId="0" fontId="1" fillId="0" borderId="6" xfId="0" applyFont="1" applyBorder="1"/>
    <xf numFmtId="0" fontId="6" fillId="0" borderId="7" xfId="0" applyFont="1" applyBorder="1"/>
    <xf numFmtId="0" fontId="6" fillId="0" borderId="8" xfId="0" applyFont="1" applyBorder="1"/>
    <xf numFmtId="166" fontId="1" fillId="0" borderId="0" xfId="0" applyNumberFormat="1" applyFont="1"/>
    <xf numFmtId="0" fontId="1" fillId="0" borderId="9" xfId="0" applyFont="1" applyBorder="1"/>
    <xf numFmtId="165" fontId="4" fillId="0" borderId="0" xfId="0" applyNumberFormat="1" applyFont="1"/>
    <xf numFmtId="165" fontId="6" fillId="0" borderId="10" xfId="0" applyNumberFormat="1" applyFont="1" applyBorder="1"/>
    <xf numFmtId="0" fontId="1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4" borderId="5" xfId="0" applyFont="1" applyFill="1" applyBorder="1" applyAlignment="1">
      <alignment horizontal="left" vertical="center"/>
    </xf>
    <xf numFmtId="165" fontId="1" fillId="4" borderId="5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6" fillId="4" borderId="5" xfId="0" applyFont="1" applyFill="1" applyBorder="1"/>
    <xf numFmtId="165" fontId="1" fillId="4" borderId="5" xfId="0" applyNumberFormat="1" applyFont="1" applyFill="1" applyBorder="1" applyAlignment="1">
      <alignment horizontal="center"/>
    </xf>
    <xf numFmtId="165" fontId="1" fillId="5" borderId="4" xfId="0" applyNumberFormat="1" applyFont="1" applyFill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6" borderId="5" xfId="0" applyFont="1" applyFill="1" applyBorder="1"/>
    <xf numFmtId="0" fontId="10" fillId="6" borderId="0" xfId="0" applyFont="1" applyFill="1"/>
    <xf numFmtId="0" fontId="6" fillId="4" borderId="4" xfId="0" applyFont="1" applyFill="1" applyBorder="1" applyAlignment="1">
      <alignment horizontal="left" vertical="center"/>
    </xf>
    <xf numFmtId="165" fontId="6" fillId="4" borderId="4" xfId="0" applyNumberFormat="1" applyFont="1" applyFill="1" applyBorder="1"/>
    <xf numFmtId="0" fontId="6" fillId="4" borderId="4" xfId="0" applyFont="1" applyFill="1" applyBorder="1"/>
    <xf numFmtId="165" fontId="6" fillId="4" borderId="4" xfId="0" applyNumberFormat="1" applyFont="1" applyFill="1" applyBorder="1" applyAlignment="1">
      <alignment horizontal="right"/>
    </xf>
    <xf numFmtId="165" fontId="1" fillId="5" borderId="4" xfId="0" applyNumberFormat="1" applyFont="1" applyFill="1" applyBorder="1"/>
    <xf numFmtId="0" fontId="6" fillId="7" borderId="4" xfId="0" applyFont="1" applyFill="1" applyBorder="1" applyAlignment="1">
      <alignment wrapText="1"/>
    </xf>
    <xf numFmtId="165" fontId="6" fillId="7" borderId="4" xfId="0" applyNumberFormat="1" applyFont="1" applyFill="1" applyBorder="1"/>
    <xf numFmtId="165" fontId="6" fillId="7" borderId="4" xfId="0" applyNumberFormat="1" applyFont="1" applyFill="1" applyBorder="1" applyAlignment="1">
      <alignment horizontal="right"/>
    </xf>
    <xf numFmtId="0" fontId="6" fillId="7" borderId="4" xfId="0" applyFont="1" applyFill="1" applyBorder="1"/>
    <xf numFmtId="0" fontId="6" fillId="7" borderId="5" xfId="0" applyFont="1" applyFill="1" applyBorder="1"/>
    <xf numFmtId="0" fontId="10" fillId="7" borderId="0" xfId="0" applyFont="1" applyFill="1"/>
    <xf numFmtId="0" fontId="6" fillId="0" borderId="0" xfId="0" applyFont="1" applyAlignment="1">
      <alignment wrapText="1"/>
    </xf>
    <xf numFmtId="0" fontId="11" fillId="0" borderId="0" xfId="0" applyFont="1"/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2" fillId="0" borderId="16" xfId="0" applyNumberFormat="1" applyFont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 wrapText="1"/>
    </xf>
    <xf numFmtId="9" fontId="12" fillId="7" borderId="17" xfId="0" applyNumberFormat="1" applyFont="1" applyFill="1" applyBorder="1" applyAlignment="1">
      <alignment horizontal="center" vertical="center" wrapText="1"/>
    </xf>
    <xf numFmtId="9" fontId="12" fillId="0" borderId="16" xfId="0" applyNumberFormat="1" applyFont="1" applyBorder="1" applyAlignment="1">
      <alignment horizontal="center" vertical="center" wrapText="1"/>
    </xf>
    <xf numFmtId="1" fontId="12" fillId="4" borderId="17" xfId="0" applyNumberFormat="1" applyFont="1" applyFill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6" borderId="4" xfId="0" applyFont="1" applyFill="1" applyBorder="1"/>
    <xf numFmtId="165" fontId="6" fillId="6" borderId="4" xfId="0" applyNumberFormat="1" applyFont="1" applyFill="1" applyBorder="1"/>
    <xf numFmtId="0" fontId="6" fillId="5" borderId="5" xfId="0" applyFont="1" applyFill="1" applyBorder="1" applyAlignment="1">
      <alignment vertical="center" wrapText="1"/>
    </xf>
    <xf numFmtId="0" fontId="13" fillId="0" borderId="0" xfId="0" applyFont="1"/>
    <xf numFmtId="0" fontId="6" fillId="5" borderId="0" xfId="0" applyFont="1" applyFill="1" applyAlignment="1">
      <alignment vertical="center" wrapText="1"/>
    </xf>
    <xf numFmtId="0" fontId="14" fillId="0" borderId="0" xfId="0" applyFont="1"/>
    <xf numFmtId="0" fontId="1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4.453125" defaultRowHeight="15" customHeight="1"/>
  <cols>
    <col min="1" max="1" width="17.7265625" customWidth="1"/>
    <col min="2" max="2" width="57.81640625" customWidth="1"/>
    <col min="3" max="3" width="9.08984375" customWidth="1"/>
    <col min="4" max="4" width="10" customWidth="1"/>
    <col min="5" max="6" width="9.54296875" customWidth="1"/>
    <col min="7" max="12" width="9.26953125" customWidth="1"/>
    <col min="13" max="13" width="9.54296875" customWidth="1"/>
    <col min="14" max="15" width="9.08984375" customWidth="1"/>
    <col min="16" max="16" width="10" customWidth="1"/>
    <col min="17" max="17" width="9.81640625" customWidth="1"/>
    <col min="18" max="26" width="9.08984375" customWidth="1"/>
  </cols>
  <sheetData>
    <row r="1" spans="1:26" ht="14.5">
      <c r="A1" s="1"/>
      <c r="B1" s="1" t="s">
        <v>0</v>
      </c>
      <c r="C1" s="2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.5" customHeight="1">
      <c r="A2" s="1"/>
      <c r="B2" s="1"/>
      <c r="C2" s="2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4" t="s">
        <v>1</v>
      </c>
      <c r="D3" s="79" t="s">
        <v>2</v>
      </c>
      <c r="E3" s="80"/>
      <c r="F3" s="80"/>
      <c r="G3" s="80"/>
      <c r="H3" s="80"/>
      <c r="I3" s="81"/>
      <c r="J3" s="3"/>
      <c r="K3" s="1" t="s">
        <v>3</v>
      </c>
      <c r="L3" s="1"/>
      <c r="M3" s="1"/>
      <c r="N3" s="1"/>
      <c r="O3" s="1"/>
      <c r="P3" s="5">
        <v>0.08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.25" customHeight="1">
      <c r="A4" s="1"/>
      <c r="B4" s="1"/>
      <c r="C4" s="2"/>
      <c r="D4" s="1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6" t="s">
        <v>4</v>
      </c>
      <c r="B5" s="3"/>
      <c r="C5" s="6"/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7" t="s">
        <v>15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5">
      <c r="A6" s="8" t="s">
        <v>16</v>
      </c>
      <c r="B6" s="9" t="s">
        <v>17</v>
      </c>
      <c r="C6" s="10"/>
      <c r="D6" s="11">
        <f>Income!B9</f>
        <v>163270</v>
      </c>
      <c r="E6" s="11">
        <f>Income!C9</f>
        <v>156707.5</v>
      </c>
      <c r="F6" s="11">
        <f>Income!D9</f>
        <v>156707.5</v>
      </c>
      <c r="G6" s="11">
        <f>Income!E9</f>
        <v>150801.25</v>
      </c>
      <c r="H6" s="11">
        <f>Income!F9</f>
        <v>150801.25</v>
      </c>
      <c r="I6" s="11">
        <f>Income!G9</f>
        <v>150801.25</v>
      </c>
      <c r="J6" s="11">
        <f>Income!H9</f>
        <v>150801.25</v>
      </c>
      <c r="K6" s="11">
        <f>Income!I9</f>
        <v>150801.25</v>
      </c>
      <c r="L6" s="11">
        <f>Income!J9</f>
        <v>150801.25</v>
      </c>
      <c r="M6" s="11">
        <f>Income!K9</f>
        <v>150801.25</v>
      </c>
      <c r="N6" s="11">
        <f t="shared" ref="N6:N7" si="0">SUM(D6:M6)</f>
        <v>1532293.75</v>
      </c>
    </row>
    <row r="7" spans="1:26" ht="14.5">
      <c r="A7" s="8" t="s">
        <v>18</v>
      </c>
      <c r="B7" s="12" t="s">
        <v>19</v>
      </c>
      <c r="C7" s="13"/>
      <c r="D7" s="14">
        <f>'Costs Of Sales'!B8</f>
        <v>15442.4128</v>
      </c>
      <c r="E7" s="14">
        <f>'Costs Of Sales'!C8</f>
        <v>15442.4128</v>
      </c>
      <c r="F7" s="14">
        <f>'Costs Of Sales'!D8</f>
        <v>15442.4128</v>
      </c>
      <c r="G7" s="14">
        <f>'Costs Of Sales'!E8</f>
        <v>15442.4128</v>
      </c>
      <c r="H7" s="14">
        <f>'Costs Of Sales'!F8</f>
        <v>15442.4128</v>
      </c>
      <c r="I7" s="14">
        <f>'Costs Of Sales'!G8</f>
        <v>15442.4128</v>
      </c>
      <c r="J7" s="14">
        <f>'Costs Of Sales'!H8</f>
        <v>15442.4128</v>
      </c>
      <c r="K7" s="14">
        <f>'Costs Of Sales'!I8</f>
        <v>15442.4128</v>
      </c>
      <c r="L7" s="14">
        <f>'Costs Of Sales'!J8</f>
        <v>15442.4128</v>
      </c>
      <c r="M7" s="14">
        <f>'Costs Of Sales'!K8</f>
        <v>15442.4128</v>
      </c>
      <c r="N7" s="15">
        <f t="shared" si="0"/>
        <v>154424.128</v>
      </c>
    </row>
    <row r="8" spans="1:26" ht="14.5">
      <c r="B8" s="9" t="s">
        <v>20</v>
      </c>
      <c r="C8" s="10"/>
      <c r="D8" s="11">
        <f t="shared" ref="D8:N8" si="1">D6-D7</f>
        <v>147827.58720000001</v>
      </c>
      <c r="E8" s="11">
        <f t="shared" si="1"/>
        <v>141265.08720000001</v>
      </c>
      <c r="F8" s="11">
        <f t="shared" si="1"/>
        <v>141265.08720000001</v>
      </c>
      <c r="G8" s="11">
        <f t="shared" si="1"/>
        <v>135358.83720000001</v>
      </c>
      <c r="H8" s="11">
        <f t="shared" si="1"/>
        <v>135358.83720000001</v>
      </c>
      <c r="I8" s="11">
        <f t="shared" si="1"/>
        <v>135358.83720000001</v>
      </c>
      <c r="J8" s="11">
        <f t="shared" si="1"/>
        <v>135358.83720000001</v>
      </c>
      <c r="K8" s="11">
        <f t="shared" si="1"/>
        <v>135358.83720000001</v>
      </c>
      <c r="L8" s="11">
        <f t="shared" si="1"/>
        <v>135358.83720000001</v>
      </c>
      <c r="M8" s="11">
        <f t="shared" si="1"/>
        <v>135358.83720000001</v>
      </c>
      <c r="N8" s="11">
        <f t="shared" si="1"/>
        <v>1377869.622</v>
      </c>
    </row>
    <row r="9" spans="1:26" ht="14.5">
      <c r="B9" s="2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</row>
    <row r="10" spans="1:26" ht="14.5">
      <c r="A10" s="8" t="s">
        <v>21</v>
      </c>
      <c r="B10" s="12" t="s">
        <v>21</v>
      </c>
      <c r="C10" s="13"/>
      <c r="D10" s="14">
        <f>Staffing!B9</f>
        <v>56166</v>
      </c>
      <c r="E10" s="14">
        <f>Staffing!C9</f>
        <v>55541</v>
      </c>
      <c r="F10" s="14">
        <f>Staffing!D9</f>
        <v>55541</v>
      </c>
      <c r="G10" s="14">
        <f>Staffing!E9</f>
        <v>54916</v>
      </c>
      <c r="H10" s="14">
        <f>Staffing!F9</f>
        <v>54916</v>
      </c>
      <c r="I10" s="14">
        <f>Staffing!G9</f>
        <v>54916</v>
      </c>
      <c r="J10" s="14">
        <f>Staffing!H9</f>
        <v>54916</v>
      </c>
      <c r="K10" s="14">
        <f>Staffing!I9</f>
        <v>54916</v>
      </c>
      <c r="L10" s="14">
        <f>Staffing!J9</f>
        <v>54916</v>
      </c>
      <c r="M10" s="14">
        <f>Staffing!K9</f>
        <v>54916</v>
      </c>
      <c r="N10" s="14">
        <f t="shared" ref="N10:N15" si="2">SUM(D10:M10)</f>
        <v>551660</v>
      </c>
    </row>
    <row r="11" spans="1:26" ht="14.5">
      <c r="A11" s="8" t="s">
        <v>22</v>
      </c>
      <c r="B11" s="12" t="s">
        <v>23</v>
      </c>
      <c r="C11" s="13"/>
      <c r="D11" s="14">
        <f>'Building Costs'!B12</f>
        <v>37875</v>
      </c>
      <c r="E11" s="14">
        <f>'Building Costs'!C12</f>
        <v>36500</v>
      </c>
      <c r="F11" s="14">
        <f>'Building Costs'!D12</f>
        <v>33875</v>
      </c>
      <c r="G11" s="14">
        <f>'Building Costs'!E12</f>
        <v>33000</v>
      </c>
      <c r="H11" s="14">
        <f>'Building Costs'!F12</f>
        <v>33500</v>
      </c>
      <c r="I11" s="14">
        <f>'Building Costs'!G12</f>
        <v>33000</v>
      </c>
      <c r="J11" s="14">
        <f>'Building Costs'!H12</f>
        <v>34000</v>
      </c>
      <c r="K11" s="14">
        <f>'Building Costs'!I12</f>
        <v>33000</v>
      </c>
      <c r="L11" s="14">
        <f>'Building Costs'!J12</f>
        <v>34000</v>
      </c>
      <c r="M11" s="14">
        <f>'Building Costs'!K12</f>
        <v>33000</v>
      </c>
      <c r="N11" s="14">
        <f t="shared" si="2"/>
        <v>341750</v>
      </c>
      <c r="V11" s="16"/>
    </row>
    <row r="12" spans="1:26" ht="14.5">
      <c r="A12" s="8" t="s">
        <v>24</v>
      </c>
      <c r="B12" s="12" t="s">
        <v>24</v>
      </c>
      <c r="C12" s="13"/>
      <c r="D12" s="14">
        <f>'Marketing '!B8</f>
        <v>15000</v>
      </c>
      <c r="E12" s="14">
        <f>'Marketing '!C8</f>
        <v>15000</v>
      </c>
      <c r="F12" s="14">
        <f>'Marketing '!D8</f>
        <v>5000</v>
      </c>
      <c r="G12" s="14">
        <f>'Marketing '!E8</f>
        <v>5000</v>
      </c>
      <c r="H12" s="14">
        <f>'Marketing '!F8</f>
        <v>5000</v>
      </c>
      <c r="I12" s="14">
        <f>'Marketing '!G8</f>
        <v>5000</v>
      </c>
      <c r="J12" s="14">
        <f>'Marketing '!H8</f>
        <v>5000</v>
      </c>
      <c r="K12" s="14">
        <f>'Marketing '!I8</f>
        <v>5000</v>
      </c>
      <c r="L12" s="14">
        <f>'Marketing '!J8</f>
        <v>5000</v>
      </c>
      <c r="M12" s="14">
        <f>'Marketing '!K8</f>
        <v>5000</v>
      </c>
      <c r="N12" s="14">
        <f t="shared" si="2"/>
        <v>70000</v>
      </c>
      <c r="Q12" s="17"/>
    </row>
    <row r="13" spans="1:26" ht="14.5">
      <c r="A13" s="8" t="s">
        <v>25</v>
      </c>
      <c r="B13" s="12" t="s">
        <v>26</v>
      </c>
      <c r="C13" s="13"/>
      <c r="D13" s="14">
        <f>'Finance&amp;Admin'!B7</f>
        <v>14500</v>
      </c>
      <c r="E13" s="14">
        <f>'Finance&amp;Admin'!C7</f>
        <v>14500</v>
      </c>
      <c r="F13" s="14">
        <f>'Finance&amp;Admin'!D7</f>
        <v>14500</v>
      </c>
      <c r="G13" s="14">
        <f>'Finance&amp;Admin'!E7</f>
        <v>14500</v>
      </c>
      <c r="H13" s="14">
        <f>'Finance&amp;Admin'!F7</f>
        <v>14500</v>
      </c>
      <c r="I13" s="14">
        <f>'Finance&amp;Admin'!G7</f>
        <v>14500</v>
      </c>
      <c r="J13" s="14">
        <f>'Finance&amp;Admin'!H7</f>
        <v>14500</v>
      </c>
      <c r="K13" s="14">
        <f>'Finance&amp;Admin'!I7</f>
        <v>14500</v>
      </c>
      <c r="L13" s="14">
        <f>'Finance&amp;Admin'!J7</f>
        <v>14500</v>
      </c>
      <c r="M13" s="14">
        <f>'Finance&amp;Admin'!K7</f>
        <v>14500</v>
      </c>
      <c r="N13" s="14">
        <f t="shared" si="2"/>
        <v>145000</v>
      </c>
    </row>
    <row r="14" spans="1:26" ht="14.5">
      <c r="A14" s="8" t="s">
        <v>27</v>
      </c>
      <c r="B14" s="12" t="s">
        <v>27</v>
      </c>
      <c r="C14" s="13"/>
      <c r="D14" s="14">
        <f>'FLS Rent'!B5</f>
        <v>13061.6</v>
      </c>
      <c r="E14" s="14">
        <f>'FLS Rent'!C5</f>
        <v>12536.6</v>
      </c>
      <c r="F14" s="14">
        <f>'FLS Rent'!D5</f>
        <v>12536.6</v>
      </c>
      <c r="G14" s="14">
        <f>'FLS Rent'!E5</f>
        <v>12064.1</v>
      </c>
      <c r="H14" s="14">
        <f>'FLS Rent'!F5</f>
        <v>12064.1</v>
      </c>
      <c r="I14" s="14">
        <f>'FLS Rent'!G5</f>
        <v>12064.1</v>
      </c>
      <c r="J14" s="14">
        <f>'FLS Rent'!H5</f>
        <v>12064.1</v>
      </c>
      <c r="K14" s="14">
        <f>'FLS Rent'!I5</f>
        <v>12064.1</v>
      </c>
      <c r="L14" s="14">
        <f>'FLS Rent'!J5</f>
        <v>12064.1</v>
      </c>
      <c r="M14" s="14">
        <f>'FLS Rent'!K5</f>
        <v>12064.1</v>
      </c>
      <c r="N14" s="14">
        <f t="shared" si="2"/>
        <v>122583.50000000003</v>
      </c>
    </row>
    <row r="15" spans="1:26" ht="14.5">
      <c r="A15" s="8" t="s">
        <v>28</v>
      </c>
      <c r="B15" s="12" t="s">
        <v>28</v>
      </c>
      <c r="C15" s="13"/>
      <c r="D15" s="14">
        <f>'Other Costs'!B7</f>
        <v>5000</v>
      </c>
      <c r="E15" s="14">
        <f>'Other Costs'!C7</f>
        <v>5000</v>
      </c>
      <c r="F15" s="14">
        <f>'Other Costs'!D7</f>
        <v>5000</v>
      </c>
      <c r="G15" s="14">
        <f>'Other Costs'!E7</f>
        <v>0</v>
      </c>
      <c r="H15" s="14">
        <f>'Other Costs'!F7</f>
        <v>0</v>
      </c>
      <c r="I15" s="14">
        <f>'Other Costs'!G7</f>
        <v>0</v>
      </c>
      <c r="J15" s="14">
        <f>'Other Costs'!H7</f>
        <v>0</v>
      </c>
      <c r="K15" s="14">
        <f>'Other Costs'!I7</f>
        <v>0</v>
      </c>
      <c r="L15" s="14">
        <f>'Other Costs'!J7</f>
        <v>0</v>
      </c>
      <c r="M15" s="14">
        <f>'Other Costs'!K7</f>
        <v>0</v>
      </c>
      <c r="N15" s="14">
        <f t="shared" si="2"/>
        <v>15000</v>
      </c>
    </row>
    <row r="16" spans="1:26" ht="14.5">
      <c r="A16" s="1"/>
      <c r="B16" s="9" t="s">
        <v>29</v>
      </c>
      <c r="C16" s="10"/>
      <c r="D16" s="11">
        <f t="shared" ref="D16:N16" si="3">SUM(D10:D15)</f>
        <v>141602.6</v>
      </c>
      <c r="E16" s="11">
        <f t="shared" si="3"/>
        <v>139077.6</v>
      </c>
      <c r="F16" s="11">
        <f t="shared" si="3"/>
        <v>126452.6</v>
      </c>
      <c r="G16" s="11">
        <f t="shared" si="3"/>
        <v>119480.1</v>
      </c>
      <c r="H16" s="11">
        <f t="shared" si="3"/>
        <v>119980.1</v>
      </c>
      <c r="I16" s="11">
        <f t="shared" si="3"/>
        <v>119480.1</v>
      </c>
      <c r="J16" s="11">
        <f t="shared" si="3"/>
        <v>120480.1</v>
      </c>
      <c r="K16" s="11">
        <f t="shared" si="3"/>
        <v>119480.1</v>
      </c>
      <c r="L16" s="11">
        <f t="shared" si="3"/>
        <v>120480.1</v>
      </c>
      <c r="M16" s="11">
        <f t="shared" si="3"/>
        <v>119480.1</v>
      </c>
      <c r="N16" s="11">
        <f t="shared" si="3"/>
        <v>1245993.5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B17" s="12"/>
      <c r="C17" s="13"/>
      <c r="D17" s="13"/>
      <c r="E17" s="13"/>
      <c r="F17" s="15"/>
      <c r="G17" s="15"/>
      <c r="H17" s="15"/>
      <c r="I17" s="15"/>
      <c r="J17" s="15"/>
      <c r="K17" s="15"/>
      <c r="L17" s="15"/>
      <c r="M17" s="15"/>
    </row>
    <row r="18" spans="1:26" ht="14.5">
      <c r="B18" s="9" t="s">
        <v>30</v>
      </c>
      <c r="C18" s="18"/>
      <c r="D18" s="11">
        <f t="shared" ref="D18:M18" si="4">D8-D16</f>
        <v>6224.9872000000032</v>
      </c>
      <c r="E18" s="11">
        <f t="shared" si="4"/>
        <v>2187.4872000000032</v>
      </c>
      <c r="F18" s="11">
        <f t="shared" si="4"/>
        <v>14812.487200000003</v>
      </c>
      <c r="G18" s="11">
        <f t="shared" si="4"/>
        <v>15878.737200000003</v>
      </c>
      <c r="H18" s="11">
        <f t="shared" si="4"/>
        <v>15378.737200000003</v>
      </c>
      <c r="I18" s="11">
        <f t="shared" si="4"/>
        <v>15878.737200000003</v>
      </c>
      <c r="J18" s="11">
        <f t="shared" si="4"/>
        <v>14878.737200000003</v>
      </c>
      <c r="K18" s="11">
        <f t="shared" si="4"/>
        <v>15878.737200000003</v>
      </c>
      <c r="L18" s="11">
        <f t="shared" si="4"/>
        <v>14878.737200000003</v>
      </c>
      <c r="M18" s="11">
        <f t="shared" si="4"/>
        <v>15878.737200000003</v>
      </c>
      <c r="N18" s="11">
        <f>SUM(D18:M18)</f>
        <v>131876.12200000003</v>
      </c>
    </row>
    <row r="19" spans="1:26" ht="14.5">
      <c r="B19" s="2"/>
      <c r="C19" s="13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26" ht="14.5">
      <c r="C20" s="20" t="s">
        <v>31</v>
      </c>
      <c r="D20" s="13"/>
      <c r="E20" s="13"/>
      <c r="F20" s="15"/>
      <c r="G20" s="15"/>
      <c r="H20" s="15"/>
      <c r="I20" s="15"/>
      <c r="J20" s="15"/>
      <c r="K20" s="15"/>
      <c r="L20" s="15"/>
      <c r="M20" s="15"/>
    </row>
    <row r="21" spans="1:26" ht="15.75" customHeight="1">
      <c r="A21" s="8" t="s">
        <v>32</v>
      </c>
      <c r="B21" s="2" t="s">
        <v>33</v>
      </c>
      <c r="C21" s="11">
        <f>'Capital Invest'!B10</f>
        <v>1050000</v>
      </c>
      <c r="D21" s="11">
        <f>'Capital Invest'!C10</f>
        <v>0</v>
      </c>
      <c r="E21" s="11">
        <f>'Capital Invest'!D10</f>
        <v>0</v>
      </c>
      <c r="F21" s="11">
        <f>'Capital Invest'!E10</f>
        <v>0</v>
      </c>
      <c r="G21" s="11">
        <f>'Capital Invest'!F10</f>
        <v>0</v>
      </c>
      <c r="H21" s="11">
        <f>'Capital Invest'!G10</f>
        <v>0</v>
      </c>
      <c r="I21" s="11">
        <f>'Capital Invest'!H10</f>
        <v>0</v>
      </c>
      <c r="J21" s="11">
        <f>'Capital Invest'!I10</f>
        <v>0</v>
      </c>
      <c r="K21" s="11">
        <f>'Capital Invest'!J10</f>
        <v>0</v>
      </c>
      <c r="L21" s="11">
        <f>'Capital Invest'!K10</f>
        <v>0</v>
      </c>
      <c r="M21" s="11">
        <f>'Capital Invest'!L10</f>
        <v>0</v>
      </c>
      <c r="N21" s="11">
        <f>SUM(C21:M21)</f>
        <v>1050000</v>
      </c>
    </row>
    <row r="22" spans="1:26" ht="15.75" customHeight="1">
      <c r="C22" s="13"/>
      <c r="D22" s="13"/>
      <c r="E22" s="13"/>
      <c r="F22" s="15"/>
      <c r="G22" s="15"/>
      <c r="H22" s="15"/>
      <c r="I22" s="15"/>
      <c r="J22" s="15"/>
      <c r="K22" s="15"/>
      <c r="L22" s="15"/>
      <c r="M22" s="15"/>
    </row>
    <row r="23" spans="1:26" ht="15.75" customHeight="1">
      <c r="B23" s="2" t="s">
        <v>34</v>
      </c>
      <c r="C23" s="21">
        <f t="shared" ref="C23:M23" si="5">C18-C21</f>
        <v>-1050000</v>
      </c>
      <c r="D23" s="21">
        <f t="shared" si="5"/>
        <v>6224.9872000000032</v>
      </c>
      <c r="E23" s="21">
        <f t="shared" si="5"/>
        <v>2187.4872000000032</v>
      </c>
      <c r="F23" s="21">
        <f t="shared" si="5"/>
        <v>14812.487200000003</v>
      </c>
      <c r="G23" s="21">
        <f t="shared" si="5"/>
        <v>15878.737200000003</v>
      </c>
      <c r="H23" s="21">
        <f t="shared" si="5"/>
        <v>15378.737200000003</v>
      </c>
      <c r="I23" s="21">
        <f t="shared" si="5"/>
        <v>15878.737200000003</v>
      </c>
      <c r="J23" s="21">
        <f t="shared" si="5"/>
        <v>14878.737200000003</v>
      </c>
      <c r="K23" s="21">
        <f t="shared" si="5"/>
        <v>15878.737200000003</v>
      </c>
      <c r="L23" s="21">
        <f t="shared" si="5"/>
        <v>14878.737200000003</v>
      </c>
      <c r="M23" s="21">
        <f t="shared" si="5"/>
        <v>15878.737200000003</v>
      </c>
      <c r="N23" s="11">
        <f>SUM(C23:M23)</f>
        <v>-918123.87800000026</v>
      </c>
    </row>
    <row r="24" spans="1:26" ht="15.75" customHeight="1">
      <c r="B24" s="12"/>
      <c r="C24" s="12"/>
      <c r="D24" s="12"/>
      <c r="E24" s="12"/>
    </row>
    <row r="25" spans="1:26" ht="15.75" customHeight="1">
      <c r="B25" s="2" t="s">
        <v>35</v>
      </c>
      <c r="D25" s="22">
        <f t="array" ref="D25">C23+NPV(P3,D23:M23)</f>
        <v>-966399.53299436287</v>
      </c>
      <c r="E25" s="23"/>
      <c r="P25" s="1"/>
    </row>
    <row r="26" spans="1:26" ht="15.75" customHeight="1">
      <c r="B26" s="12"/>
      <c r="D26" s="12"/>
      <c r="E26" s="1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B27" s="2" t="s">
        <v>36</v>
      </c>
      <c r="D27" s="24">
        <f>MAX(C43:M43)</f>
        <v>11</v>
      </c>
      <c r="E27" s="12"/>
      <c r="P27" s="25"/>
    </row>
    <row r="28" spans="1:26" ht="15.75" customHeight="1">
      <c r="D28" s="12"/>
      <c r="E28" s="12"/>
      <c r="P28" s="25"/>
    </row>
    <row r="29" spans="1:26" ht="15.75" customHeight="1">
      <c r="B29" s="1" t="s">
        <v>37</v>
      </c>
      <c r="D29" s="26">
        <f>IRR(C23:M23)</f>
        <v>-0.25449387537934876</v>
      </c>
      <c r="E29" s="12"/>
      <c r="P29" s="25"/>
    </row>
    <row r="30" spans="1:26" ht="15.75" customHeight="1">
      <c r="D30" s="12"/>
      <c r="E30" s="12"/>
      <c r="P30" s="25"/>
    </row>
    <row r="31" spans="1:26" ht="15.75" customHeight="1">
      <c r="B31" s="27" t="s">
        <v>38</v>
      </c>
      <c r="P31" s="25"/>
    </row>
    <row r="32" spans="1:26" ht="15.75" customHeight="1">
      <c r="B32" s="1" t="s">
        <v>39</v>
      </c>
      <c r="P32" s="25"/>
    </row>
    <row r="33" spans="2:26" ht="15.75" customHeight="1">
      <c r="B33" s="1" t="s">
        <v>40</v>
      </c>
      <c r="P33" s="25"/>
    </row>
    <row r="34" spans="2:26" ht="15.75" customHeight="1">
      <c r="B34" s="1" t="s">
        <v>41</v>
      </c>
      <c r="P34" s="25"/>
    </row>
    <row r="35" spans="2:26" ht="15.75" customHeight="1">
      <c r="B35" s="1" t="s">
        <v>42</v>
      </c>
      <c r="P35" s="25"/>
    </row>
    <row r="36" spans="2:26" ht="15.75" customHeight="1">
      <c r="B36" s="1" t="s">
        <v>43</v>
      </c>
      <c r="P36" s="25"/>
    </row>
    <row r="37" spans="2:26" ht="15.75" customHeight="1">
      <c r="B37" s="1" t="s">
        <v>44</v>
      </c>
      <c r="P37" s="25"/>
    </row>
    <row r="38" spans="2:26" ht="15.75" customHeight="1">
      <c r="B38" s="1" t="s">
        <v>45</v>
      </c>
      <c r="P38" s="25"/>
    </row>
    <row r="39" spans="2:26" ht="15.75" customHeight="1">
      <c r="B39" s="1" t="s">
        <v>46</v>
      </c>
      <c r="P39" s="25"/>
    </row>
    <row r="40" spans="2:26" ht="15.75" customHeight="1">
      <c r="P40" s="25"/>
    </row>
    <row r="41" spans="2:26" ht="15.75" customHeight="1">
      <c r="B41" s="28" t="s">
        <v>47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  <c r="P41" s="31"/>
    </row>
    <row r="42" spans="2:26" ht="15.75" customHeight="1">
      <c r="B42" s="32" t="s">
        <v>48</v>
      </c>
      <c r="C42" s="33">
        <f>C23</f>
        <v>-1050000</v>
      </c>
      <c r="D42" s="33">
        <f t="shared" ref="D42:M42" si="6">C42+D23</f>
        <v>-1043775.0128</v>
      </c>
      <c r="E42" s="33">
        <f t="shared" si="6"/>
        <v>-1041587.5256000001</v>
      </c>
      <c r="F42" s="33">
        <f t="shared" si="6"/>
        <v>-1026775.0384000001</v>
      </c>
      <c r="G42" s="33">
        <f t="shared" si="6"/>
        <v>-1010896.3012000001</v>
      </c>
      <c r="H42" s="33">
        <f t="shared" si="6"/>
        <v>-995517.56400000013</v>
      </c>
      <c r="I42" s="33">
        <f t="shared" si="6"/>
        <v>-979638.82680000016</v>
      </c>
      <c r="J42" s="33">
        <f t="shared" si="6"/>
        <v>-964760.08960000018</v>
      </c>
      <c r="K42" s="33">
        <f t="shared" si="6"/>
        <v>-948881.35240000021</v>
      </c>
      <c r="L42" s="33">
        <f t="shared" si="6"/>
        <v>-934002.61520000023</v>
      </c>
      <c r="M42" s="34">
        <f t="shared" si="6"/>
        <v>-918123.87800000026</v>
      </c>
    </row>
    <row r="43" spans="2:26" ht="15.75" customHeight="1">
      <c r="B43" s="35" t="s">
        <v>49</v>
      </c>
      <c r="C43" s="36">
        <f>IF(C42&lt;0,1,0)</f>
        <v>1</v>
      </c>
      <c r="D43" s="36">
        <f t="shared" ref="D43:M43" si="7">+C43+IF(D42&lt;0,1,0)</f>
        <v>2</v>
      </c>
      <c r="E43" s="36">
        <f t="shared" si="7"/>
        <v>3</v>
      </c>
      <c r="F43" s="36">
        <f t="shared" si="7"/>
        <v>4</v>
      </c>
      <c r="G43" s="36">
        <f t="shared" si="7"/>
        <v>5</v>
      </c>
      <c r="H43" s="36">
        <f t="shared" si="7"/>
        <v>6</v>
      </c>
      <c r="I43" s="36">
        <f t="shared" si="7"/>
        <v>7</v>
      </c>
      <c r="J43" s="36">
        <f t="shared" si="7"/>
        <v>8</v>
      </c>
      <c r="K43" s="36">
        <f t="shared" si="7"/>
        <v>9</v>
      </c>
      <c r="L43" s="36">
        <f t="shared" si="7"/>
        <v>10</v>
      </c>
      <c r="M43" s="37">
        <f t="shared" si="7"/>
        <v>11</v>
      </c>
      <c r="P43" s="1"/>
    </row>
    <row r="44" spans="2:26" ht="15.75" customHeight="1"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ht="15.75" customHeight="1">
      <c r="P45" s="25"/>
    </row>
    <row r="46" spans="2:26" ht="15.75" customHeight="1">
      <c r="P46" s="25"/>
    </row>
    <row r="47" spans="2:26" ht="15.75" customHeight="1">
      <c r="P47" s="25"/>
    </row>
    <row r="48" spans="2:26" ht="15.75" customHeight="1">
      <c r="B48" s="1"/>
      <c r="P48" s="25"/>
    </row>
    <row r="49" spans="16:16" ht="15.75" customHeight="1">
      <c r="P49" s="25"/>
    </row>
    <row r="50" spans="16:16" ht="15.75" customHeight="1">
      <c r="P50" s="25"/>
    </row>
    <row r="51" spans="16:16" ht="15.75" customHeight="1">
      <c r="P51" s="25"/>
    </row>
    <row r="52" spans="16:16" ht="15.75" customHeight="1">
      <c r="P52" s="25"/>
    </row>
    <row r="53" spans="16:16" ht="15.75" customHeight="1">
      <c r="P53" s="25"/>
    </row>
    <row r="54" spans="16:16" ht="15.75" customHeight="1">
      <c r="P54" s="25"/>
    </row>
    <row r="55" spans="16:16" ht="15.75" customHeight="1">
      <c r="P55" s="25"/>
    </row>
    <row r="56" spans="16:16" ht="15.75" customHeight="1"/>
    <row r="57" spans="16:16" ht="15.75" customHeight="1"/>
    <row r="58" spans="16:16" ht="15.75" customHeight="1"/>
    <row r="59" spans="16:16" ht="15.75" customHeight="1"/>
    <row r="60" spans="16:16" ht="15.75" customHeight="1"/>
    <row r="61" spans="16:16" ht="15.75" customHeight="1"/>
    <row r="62" spans="16:16" ht="15.75" customHeight="1"/>
    <row r="63" spans="16:16" ht="15.75" customHeight="1"/>
    <row r="64" spans="16:1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D3:I3"/>
  </mergeCells>
  <pageMargins left="0.70866141732283472" right="0.70866141732283472" top="0.74803149606299213" bottom="0.74803149606299213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Z10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4.54296875" customWidth="1"/>
    <col min="3" max="8" width="9.08984375" customWidth="1"/>
    <col min="9" max="9" width="10.08984375" customWidth="1"/>
    <col min="10" max="12" width="9.26953125" customWidth="1"/>
    <col min="13" max="13" width="9.54296875" customWidth="1"/>
    <col min="14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147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  <c r="I3" s="7" t="s">
        <v>58</v>
      </c>
      <c r="J3" s="7" t="s">
        <v>59</v>
      </c>
      <c r="K3" s="7" t="s">
        <v>60</v>
      </c>
      <c r="L3" s="7" t="s">
        <v>61</v>
      </c>
      <c r="M3" s="7" t="s">
        <v>15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71" t="s">
        <v>148</v>
      </c>
      <c r="B4" s="72">
        <v>986000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15">
        <f t="shared" ref="M4:M7" si="0">SUM(B4:L4)</f>
        <v>986000</v>
      </c>
    </row>
    <row r="5" spans="1:26" ht="14.5">
      <c r="A5" s="71" t="s">
        <v>149</v>
      </c>
      <c r="B5" s="72">
        <v>24000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15">
        <f t="shared" si="0"/>
        <v>24000</v>
      </c>
    </row>
    <row r="6" spans="1:26" ht="14.5">
      <c r="A6" s="71" t="s">
        <v>150</v>
      </c>
      <c r="B6" s="72">
        <v>18000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15">
        <f t="shared" si="0"/>
        <v>18000</v>
      </c>
    </row>
    <row r="7" spans="1:26" ht="14.5">
      <c r="A7" s="71" t="s">
        <v>104</v>
      </c>
      <c r="B7" s="72">
        <v>10000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15">
        <f t="shared" si="0"/>
        <v>10000</v>
      </c>
    </row>
    <row r="8" spans="1:26" ht="14.5">
      <c r="A8" s="71" t="s">
        <v>151</v>
      </c>
      <c r="B8" s="72">
        <v>12000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15"/>
    </row>
    <row r="9" spans="1:26" ht="14.5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15"/>
    </row>
    <row r="10" spans="1:26" ht="14.5">
      <c r="A10" s="1" t="s">
        <v>15</v>
      </c>
      <c r="B10" s="52">
        <f>SUM(B4:B8)</f>
        <v>1050000</v>
      </c>
      <c r="C10" s="52">
        <f t="shared" ref="C10:M10" si="1">SUM(C4:C7)</f>
        <v>0</v>
      </c>
      <c r="D10" s="52">
        <f t="shared" si="1"/>
        <v>0</v>
      </c>
      <c r="E10" s="52">
        <f t="shared" si="1"/>
        <v>0</v>
      </c>
      <c r="F10" s="52">
        <f t="shared" si="1"/>
        <v>0</v>
      </c>
      <c r="G10" s="52">
        <f t="shared" si="1"/>
        <v>0</v>
      </c>
      <c r="H10" s="52">
        <f t="shared" si="1"/>
        <v>0</v>
      </c>
      <c r="I10" s="52">
        <f t="shared" si="1"/>
        <v>0</v>
      </c>
      <c r="J10" s="52">
        <f t="shared" si="1"/>
        <v>0</v>
      </c>
      <c r="K10" s="52">
        <f t="shared" si="1"/>
        <v>0</v>
      </c>
      <c r="L10" s="52">
        <f t="shared" si="1"/>
        <v>0</v>
      </c>
      <c r="M10" s="52">
        <f t="shared" si="1"/>
        <v>1038000</v>
      </c>
    </row>
    <row r="12" spans="1:26" ht="14.5">
      <c r="A12" s="1" t="s">
        <v>152</v>
      </c>
      <c r="B12" s="73" t="s">
        <v>153</v>
      </c>
      <c r="C12" s="73" t="s">
        <v>153</v>
      </c>
      <c r="D12" s="73" t="s">
        <v>153</v>
      </c>
      <c r="E12" s="73" t="s">
        <v>153</v>
      </c>
      <c r="F12" s="73" t="s">
        <v>153</v>
      </c>
      <c r="G12" s="73" t="s">
        <v>153</v>
      </c>
      <c r="H12" s="73" t="s">
        <v>153</v>
      </c>
      <c r="I12" s="73" t="s">
        <v>153</v>
      </c>
      <c r="J12" s="73" t="s">
        <v>153</v>
      </c>
      <c r="K12" s="73" t="s">
        <v>153</v>
      </c>
      <c r="L12" s="73" t="s">
        <v>153</v>
      </c>
      <c r="M12" s="73" t="s">
        <v>153</v>
      </c>
    </row>
    <row r="13" spans="1:26" ht="14.5">
      <c r="A13" s="74" t="s">
        <v>154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26" ht="14.5">
      <c r="A14" s="76" t="s">
        <v>155</v>
      </c>
      <c r="B14" s="75" t="s">
        <v>156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26" ht="14.5">
      <c r="A15" s="76" t="s">
        <v>157</v>
      </c>
      <c r="B15" s="75" t="s">
        <v>158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26" ht="14.5">
      <c r="A16" s="76" t="s">
        <v>159</v>
      </c>
      <c r="B16" s="75" t="s">
        <v>160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</row>
    <row r="17" spans="1:13" ht="14.5">
      <c r="A17" s="74" t="s">
        <v>161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</row>
    <row r="18" spans="1:13" ht="14.5">
      <c r="A18" s="77" t="s">
        <v>162</v>
      </c>
      <c r="B18" s="75" t="s">
        <v>163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ht="14.5">
      <c r="A19" s="77" t="s">
        <v>164</v>
      </c>
      <c r="B19" s="75" t="s">
        <v>163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  <row r="20" spans="1:13" ht="14.5">
      <c r="A20" s="76" t="s">
        <v>165</v>
      </c>
      <c r="B20" s="75" t="s">
        <v>166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ht="14.5">
      <c r="A21" s="76" t="s">
        <v>167</v>
      </c>
      <c r="B21" s="75" t="s">
        <v>168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1:13" ht="14.5">
      <c r="A22" s="76" t="s">
        <v>169</v>
      </c>
      <c r="B22" s="75" t="s">
        <v>163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</row>
    <row r="23" spans="1:13" ht="14.5">
      <c r="A23" s="76" t="s">
        <v>170</v>
      </c>
      <c r="B23" s="75" t="s">
        <v>171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3" ht="14.5">
      <c r="A24" s="76" t="s">
        <v>172</v>
      </c>
      <c r="B24" s="75" t="s">
        <v>173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1:13" ht="14.5">
      <c r="A25" s="77" t="s">
        <v>174</v>
      </c>
      <c r="B25" s="75" t="s">
        <v>163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13" ht="14.5">
      <c r="A26" s="76" t="s">
        <v>175</v>
      </c>
      <c r="B26" s="75" t="s">
        <v>176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ht="14.5">
      <c r="A27" s="76" t="s">
        <v>177</v>
      </c>
      <c r="B27" s="75" t="s">
        <v>178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</row>
    <row r="28" spans="1:13" ht="14.5">
      <c r="A28" s="76" t="s">
        <v>179</v>
      </c>
      <c r="B28" s="75" t="s">
        <v>180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3" ht="14.5">
      <c r="A29" s="76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</row>
    <row r="30" spans="1:13" ht="14.5">
      <c r="A30" s="1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</row>
    <row r="31" spans="1:13" ht="14.5">
      <c r="A31" s="1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3" ht="14.5">
      <c r="A32" s="1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3" spans="1:13" ht="14.5">
      <c r="A33" s="1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</row>
    <row r="35" spans="1:13" ht="14.5">
      <c r="A35" s="44" t="s">
        <v>181</v>
      </c>
    </row>
    <row r="37" spans="1:13" ht="14.5">
      <c r="A37" s="8" t="s">
        <v>182</v>
      </c>
    </row>
    <row r="38" spans="1:13" ht="14.5">
      <c r="A38" s="8" t="s">
        <v>183</v>
      </c>
    </row>
    <row r="39" spans="1:13" ht="14.5">
      <c r="A39" s="8" t="s">
        <v>184</v>
      </c>
    </row>
    <row r="40" spans="1:13" ht="14.5">
      <c r="A40" s="78" t="s">
        <v>185</v>
      </c>
    </row>
    <row r="42" spans="1:13" ht="14.5">
      <c r="A42" s="1" t="s">
        <v>70</v>
      </c>
    </row>
    <row r="43" spans="1:13" ht="14.5">
      <c r="A43" s="1" t="s">
        <v>186</v>
      </c>
    </row>
    <row r="44" spans="1:13" ht="15.75" customHeight="1">
      <c r="A44" s="46" t="s">
        <v>187</v>
      </c>
      <c r="B44" s="46" t="s">
        <v>188</v>
      </c>
      <c r="C44" s="46"/>
      <c r="D44" s="46"/>
      <c r="E44" s="46"/>
      <c r="F44" s="46"/>
      <c r="G44" s="46"/>
      <c r="H44" s="46"/>
      <c r="I44" s="46"/>
      <c r="J44" s="46"/>
      <c r="K44" s="46"/>
    </row>
    <row r="45" spans="1:13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3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3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3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5.453125" customWidth="1"/>
    <col min="2" max="4" width="9.54296875" customWidth="1"/>
    <col min="5" max="8" width="9.26953125" customWidth="1"/>
    <col min="9" max="9" width="8.54296875" customWidth="1"/>
    <col min="10" max="10" width="9.26953125" customWidth="1"/>
    <col min="11" max="11" width="9.54296875" customWidth="1"/>
    <col min="12" max="12" width="10.54296875" customWidth="1"/>
    <col min="13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 t="s">
        <v>51</v>
      </c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5">
      <c r="A5" s="38" t="s">
        <v>62</v>
      </c>
      <c r="B5" s="39">
        <f>(15000-3400)*3.5*0.75</f>
        <v>30450</v>
      </c>
      <c r="C5" s="39">
        <f t="shared" ref="C5:D5" si="0">(12500-3400)*3.5*0.75</f>
        <v>23887.5</v>
      </c>
      <c r="D5" s="39">
        <f t="shared" si="0"/>
        <v>23887.5</v>
      </c>
      <c r="E5" s="39">
        <f t="shared" ref="E5:K5" si="1">(10250-3400)*3.5*0.75</f>
        <v>17981.25</v>
      </c>
      <c r="F5" s="39">
        <f t="shared" si="1"/>
        <v>17981.25</v>
      </c>
      <c r="G5" s="39">
        <f t="shared" si="1"/>
        <v>17981.25</v>
      </c>
      <c r="H5" s="39">
        <f t="shared" si="1"/>
        <v>17981.25</v>
      </c>
      <c r="I5" s="39">
        <f t="shared" si="1"/>
        <v>17981.25</v>
      </c>
      <c r="J5" s="39">
        <f t="shared" si="1"/>
        <v>17981.25</v>
      </c>
      <c r="K5" s="39">
        <f t="shared" si="1"/>
        <v>17981.25</v>
      </c>
      <c r="L5" s="40">
        <f t="shared" ref="L5:L8" si="2">SUM(B5:K5)</f>
        <v>204093.75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5">
      <c r="A6" s="38" t="s">
        <v>63</v>
      </c>
      <c r="B6" s="39">
        <f t="shared" ref="B6:K6" si="3">(320+200)*3.5</f>
        <v>1820</v>
      </c>
      <c r="C6" s="39">
        <f t="shared" si="3"/>
        <v>1820</v>
      </c>
      <c r="D6" s="39">
        <f t="shared" si="3"/>
        <v>1820</v>
      </c>
      <c r="E6" s="39">
        <f t="shared" si="3"/>
        <v>1820</v>
      </c>
      <c r="F6" s="39">
        <f t="shared" si="3"/>
        <v>1820</v>
      </c>
      <c r="G6" s="39">
        <f t="shared" si="3"/>
        <v>1820</v>
      </c>
      <c r="H6" s="39">
        <f t="shared" si="3"/>
        <v>1820</v>
      </c>
      <c r="I6" s="39">
        <f t="shared" si="3"/>
        <v>1820</v>
      </c>
      <c r="J6" s="39">
        <f t="shared" si="3"/>
        <v>1820</v>
      </c>
      <c r="K6" s="39">
        <f t="shared" si="3"/>
        <v>1820</v>
      </c>
      <c r="L6" s="40">
        <f t="shared" si="2"/>
        <v>18200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5">
      <c r="A7" s="38" t="s">
        <v>64</v>
      </c>
      <c r="B7" s="39">
        <v>5000</v>
      </c>
      <c r="C7" s="39">
        <v>5000</v>
      </c>
      <c r="D7" s="39">
        <v>5000</v>
      </c>
      <c r="E7" s="39">
        <v>5000</v>
      </c>
      <c r="F7" s="39">
        <v>5000</v>
      </c>
      <c r="G7" s="39">
        <v>5000</v>
      </c>
      <c r="H7" s="39">
        <v>5000</v>
      </c>
      <c r="I7" s="39">
        <v>5000</v>
      </c>
      <c r="J7" s="39">
        <v>5000</v>
      </c>
      <c r="K7" s="39">
        <v>5000</v>
      </c>
      <c r="L7" s="40">
        <f t="shared" si="2"/>
        <v>50000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5">
      <c r="A8" s="41" t="s">
        <v>65</v>
      </c>
      <c r="B8" s="42">
        <f t="shared" ref="B8:K8" si="4">35*50*4*36*0.5</f>
        <v>126000</v>
      </c>
      <c r="C8" s="42">
        <f t="shared" si="4"/>
        <v>126000</v>
      </c>
      <c r="D8" s="42">
        <f t="shared" si="4"/>
        <v>126000</v>
      </c>
      <c r="E8" s="42">
        <f t="shared" si="4"/>
        <v>126000</v>
      </c>
      <c r="F8" s="42">
        <f t="shared" si="4"/>
        <v>126000</v>
      </c>
      <c r="G8" s="42">
        <f t="shared" si="4"/>
        <v>126000</v>
      </c>
      <c r="H8" s="42">
        <f t="shared" si="4"/>
        <v>126000</v>
      </c>
      <c r="I8" s="42">
        <f t="shared" si="4"/>
        <v>126000</v>
      </c>
      <c r="J8" s="42">
        <f t="shared" si="4"/>
        <v>126000</v>
      </c>
      <c r="K8" s="42">
        <f t="shared" si="4"/>
        <v>126000</v>
      </c>
      <c r="L8" s="40">
        <f t="shared" si="2"/>
        <v>1260000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5">
      <c r="A9" s="7"/>
      <c r="B9" s="43">
        <f t="shared" ref="B9:L9" si="5">SUM(B5:B8)</f>
        <v>163270</v>
      </c>
      <c r="C9" s="43">
        <f t="shared" si="5"/>
        <v>156707.5</v>
      </c>
      <c r="D9" s="43">
        <f t="shared" si="5"/>
        <v>156707.5</v>
      </c>
      <c r="E9" s="43">
        <f t="shared" si="5"/>
        <v>150801.25</v>
      </c>
      <c r="F9" s="43">
        <f t="shared" si="5"/>
        <v>150801.25</v>
      </c>
      <c r="G9" s="43">
        <f t="shared" si="5"/>
        <v>150801.25</v>
      </c>
      <c r="H9" s="43">
        <f t="shared" si="5"/>
        <v>150801.25</v>
      </c>
      <c r="I9" s="43">
        <f t="shared" si="5"/>
        <v>150801.25</v>
      </c>
      <c r="J9" s="43">
        <f t="shared" si="5"/>
        <v>150801.25</v>
      </c>
      <c r="K9" s="43">
        <f t="shared" si="5"/>
        <v>150801.25</v>
      </c>
      <c r="L9" s="43">
        <f t="shared" si="5"/>
        <v>1532293.75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8.25" customHeight="1"/>
    <row r="11" spans="1:26" ht="14.5">
      <c r="A11" s="44" t="s">
        <v>66</v>
      </c>
    </row>
    <row r="12" spans="1:26" ht="6" customHeight="1"/>
    <row r="13" spans="1:26" ht="14.5">
      <c r="A13" s="8" t="s">
        <v>67</v>
      </c>
    </row>
    <row r="14" spans="1:26" ht="14.5">
      <c r="A14" s="8" t="s">
        <v>68</v>
      </c>
    </row>
    <row r="15" spans="1:26" ht="14.5">
      <c r="A15" s="8" t="s">
        <v>69</v>
      </c>
    </row>
    <row r="16" spans="1:26" ht="14.25" customHeight="1">
      <c r="B16" s="45"/>
    </row>
    <row r="17" spans="1:12" ht="3" customHeight="1">
      <c r="A17" s="1"/>
      <c r="B17" s="45"/>
    </row>
    <row r="19" spans="1:12" ht="14.5">
      <c r="A19" s="1" t="s">
        <v>70</v>
      </c>
    </row>
    <row r="20" spans="1:12" ht="14.5">
      <c r="A20" s="1" t="s">
        <v>71</v>
      </c>
    </row>
    <row r="21" spans="1:12" ht="15.75" customHeight="1">
      <c r="A21" s="1" t="s">
        <v>72</v>
      </c>
    </row>
    <row r="22" spans="1:12" ht="15.75" customHeight="1">
      <c r="A22" s="1" t="s">
        <v>73</v>
      </c>
    </row>
    <row r="23" spans="1:12" ht="15.75" customHeight="1">
      <c r="A23" s="46" t="s">
        <v>74</v>
      </c>
      <c r="B23" s="46" t="s">
        <v>75</v>
      </c>
      <c r="C23" s="46"/>
      <c r="D23" s="46"/>
      <c r="E23" s="46"/>
      <c r="F23" s="46"/>
      <c r="G23" s="46"/>
      <c r="H23" s="46"/>
      <c r="I23" s="46"/>
      <c r="J23" s="46"/>
      <c r="K23" s="46"/>
      <c r="L23" s="47"/>
    </row>
    <row r="24" spans="1:12" ht="15.75" customHeight="1">
      <c r="A24" s="46" t="s">
        <v>76</v>
      </c>
      <c r="B24" s="46" t="s">
        <v>77</v>
      </c>
      <c r="C24" s="46"/>
      <c r="D24" s="46"/>
      <c r="E24" s="46"/>
      <c r="F24" s="46"/>
      <c r="G24" s="46"/>
      <c r="H24" s="46"/>
      <c r="I24" s="46"/>
      <c r="J24" s="46"/>
      <c r="K24" s="46"/>
      <c r="L24" s="47"/>
    </row>
    <row r="25" spans="1:12" ht="15.75" customHeight="1">
      <c r="A25" s="46" t="s">
        <v>78</v>
      </c>
      <c r="B25" s="46" t="s">
        <v>79</v>
      </c>
      <c r="C25" s="46"/>
      <c r="D25" s="46"/>
      <c r="E25" s="46"/>
      <c r="F25" s="46"/>
      <c r="G25" s="46"/>
      <c r="H25" s="46"/>
      <c r="I25" s="46"/>
      <c r="J25" s="46"/>
      <c r="K25" s="46"/>
      <c r="L25" s="47"/>
    </row>
    <row r="26" spans="1:12" ht="15.75" customHeight="1">
      <c r="A26" s="46" t="s">
        <v>64</v>
      </c>
      <c r="B26" s="46" t="s">
        <v>80</v>
      </c>
      <c r="C26" s="46"/>
      <c r="D26" s="46"/>
      <c r="E26" s="46"/>
      <c r="F26" s="46"/>
      <c r="G26" s="46"/>
      <c r="H26" s="46"/>
      <c r="I26" s="46"/>
      <c r="J26" s="46"/>
      <c r="K26" s="46"/>
      <c r="L26" s="47"/>
    </row>
    <row r="27" spans="1:12" ht="15.75" customHeight="1">
      <c r="A27" s="46" t="s">
        <v>65</v>
      </c>
      <c r="B27" s="46" t="s">
        <v>81</v>
      </c>
      <c r="C27" s="46"/>
      <c r="D27" s="46"/>
      <c r="E27" s="46"/>
      <c r="F27" s="46"/>
      <c r="G27" s="46"/>
      <c r="H27" s="46"/>
      <c r="I27" s="46"/>
      <c r="J27" s="46"/>
      <c r="K27" s="46"/>
      <c r="L27" s="47"/>
    </row>
    <row r="28" spans="1:12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</row>
    <row r="29" spans="1:12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</row>
    <row r="30" spans="1:12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7"/>
    </row>
    <row r="31" spans="1:12" ht="15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</row>
    <row r="32" spans="1:12" ht="15.7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7"/>
    </row>
    <row r="33" spans="1:12" ht="15.7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15.7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7"/>
    </row>
    <row r="35" spans="1:12" ht="15.7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7"/>
    </row>
    <row r="36" spans="1:12" ht="15.75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</row>
    <row r="37" spans="1:12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2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2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7"/>
    </row>
    <row r="40" spans="1:12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7"/>
    </row>
    <row r="41" spans="1:12" ht="15.7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</row>
    <row r="42" spans="1:12" ht="15.75" customHeight="1"/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1.453125" customWidth="1"/>
    <col min="2" max="6" width="9.54296875" customWidth="1"/>
    <col min="7" max="11" width="10" customWidth="1"/>
    <col min="12" max="12" width="11.54296875" customWidth="1"/>
    <col min="13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48" t="s">
        <v>82</v>
      </c>
      <c r="B4" s="49">
        <v>1500</v>
      </c>
      <c r="C4" s="49">
        <v>1500</v>
      </c>
      <c r="D4" s="49">
        <v>1500</v>
      </c>
      <c r="E4" s="49">
        <v>1500</v>
      </c>
      <c r="F4" s="49">
        <v>1500</v>
      </c>
      <c r="G4" s="49">
        <v>1500</v>
      </c>
      <c r="H4" s="49">
        <v>1500</v>
      </c>
      <c r="I4" s="49">
        <v>1500</v>
      </c>
      <c r="J4" s="49">
        <v>1500</v>
      </c>
      <c r="K4" s="49">
        <v>1500</v>
      </c>
      <c r="L4" s="15">
        <f t="shared" ref="L4:L7" si="0">SUM(B4:K4)</f>
        <v>15000</v>
      </c>
    </row>
    <row r="5" spans="1:26" ht="14.5">
      <c r="A5" s="50" t="s">
        <v>83</v>
      </c>
      <c r="B5" s="51">
        <f t="shared" ref="B5:K5" si="1">((4*45)*(8*3*2)*(6.2))*(0.09*1.44)</f>
        <v>6942.4128000000001</v>
      </c>
      <c r="C5" s="51">
        <f t="shared" si="1"/>
        <v>6942.4128000000001</v>
      </c>
      <c r="D5" s="51">
        <f t="shared" si="1"/>
        <v>6942.4128000000001</v>
      </c>
      <c r="E5" s="51">
        <f t="shared" si="1"/>
        <v>6942.4128000000001</v>
      </c>
      <c r="F5" s="51">
        <f t="shared" si="1"/>
        <v>6942.4128000000001</v>
      </c>
      <c r="G5" s="51">
        <f t="shared" si="1"/>
        <v>6942.4128000000001</v>
      </c>
      <c r="H5" s="51">
        <f t="shared" si="1"/>
        <v>6942.4128000000001</v>
      </c>
      <c r="I5" s="51">
        <f t="shared" si="1"/>
        <v>6942.4128000000001</v>
      </c>
      <c r="J5" s="51">
        <f t="shared" si="1"/>
        <v>6942.4128000000001</v>
      </c>
      <c r="K5" s="51">
        <f t="shared" si="1"/>
        <v>6942.4128000000001</v>
      </c>
      <c r="L5" s="15">
        <f t="shared" si="0"/>
        <v>69424.127999999997</v>
      </c>
    </row>
    <row r="6" spans="1:26" ht="14.5">
      <c r="A6" s="50" t="s">
        <v>84</v>
      </c>
      <c r="B6" s="51">
        <v>2000</v>
      </c>
      <c r="C6" s="51">
        <v>2000</v>
      </c>
      <c r="D6" s="51">
        <v>2000</v>
      </c>
      <c r="E6" s="51">
        <v>2000</v>
      </c>
      <c r="F6" s="51">
        <v>2000</v>
      </c>
      <c r="G6" s="51">
        <v>2000</v>
      </c>
      <c r="H6" s="51">
        <v>2000</v>
      </c>
      <c r="I6" s="51">
        <v>2000</v>
      </c>
      <c r="J6" s="51">
        <v>2000</v>
      </c>
      <c r="K6" s="51">
        <v>2000</v>
      </c>
      <c r="L6" s="15">
        <f t="shared" si="0"/>
        <v>20000</v>
      </c>
    </row>
    <row r="7" spans="1:26" ht="14.5">
      <c r="A7" s="48" t="s">
        <v>85</v>
      </c>
      <c r="B7" s="49">
        <v>5000</v>
      </c>
      <c r="C7" s="49">
        <v>5000</v>
      </c>
      <c r="D7" s="49">
        <v>5000</v>
      </c>
      <c r="E7" s="49">
        <v>5000</v>
      </c>
      <c r="F7" s="49">
        <v>5000</v>
      </c>
      <c r="G7" s="49">
        <v>5000</v>
      </c>
      <c r="H7" s="49">
        <v>5000</v>
      </c>
      <c r="I7" s="49">
        <v>5000</v>
      </c>
      <c r="J7" s="49">
        <v>5000</v>
      </c>
      <c r="K7" s="49">
        <v>5000</v>
      </c>
      <c r="L7" s="15">
        <f t="shared" si="0"/>
        <v>50000</v>
      </c>
    </row>
    <row r="8" spans="1:26" ht="14.5">
      <c r="A8" s="1" t="s">
        <v>15</v>
      </c>
      <c r="B8" s="52">
        <f t="shared" ref="B8:L8" si="2">SUM(B4:B7)</f>
        <v>15442.4128</v>
      </c>
      <c r="C8" s="52">
        <f t="shared" si="2"/>
        <v>15442.4128</v>
      </c>
      <c r="D8" s="52">
        <f t="shared" si="2"/>
        <v>15442.4128</v>
      </c>
      <c r="E8" s="52">
        <f t="shared" si="2"/>
        <v>15442.4128</v>
      </c>
      <c r="F8" s="52">
        <f t="shared" si="2"/>
        <v>15442.4128</v>
      </c>
      <c r="G8" s="52">
        <f t="shared" si="2"/>
        <v>15442.4128</v>
      </c>
      <c r="H8" s="52">
        <f t="shared" si="2"/>
        <v>15442.4128</v>
      </c>
      <c r="I8" s="52">
        <f t="shared" si="2"/>
        <v>15442.4128</v>
      </c>
      <c r="J8" s="52">
        <f t="shared" si="2"/>
        <v>15442.4128</v>
      </c>
      <c r="K8" s="52">
        <f t="shared" si="2"/>
        <v>15442.4128</v>
      </c>
      <c r="L8" s="52">
        <f t="shared" si="2"/>
        <v>154424.128</v>
      </c>
    </row>
    <row r="11" spans="1:26" ht="14.5">
      <c r="A11" s="44" t="s">
        <v>86</v>
      </c>
    </row>
    <row r="12" spans="1:26" ht="4.5" customHeight="1"/>
    <row r="13" spans="1:26" ht="14.5">
      <c r="A13" s="8" t="s">
        <v>87</v>
      </c>
    </row>
    <row r="14" spans="1:26" ht="14.5">
      <c r="A14" s="8" t="s">
        <v>88</v>
      </c>
    </row>
    <row r="17" spans="1:11" ht="14.5">
      <c r="A17" s="1" t="s">
        <v>70</v>
      </c>
    </row>
    <row r="18" spans="1:11" ht="14.5">
      <c r="A18" s="1" t="s">
        <v>89</v>
      </c>
    </row>
    <row r="19" spans="1:11" ht="14.5">
      <c r="A19" s="1" t="s">
        <v>73</v>
      </c>
    </row>
    <row r="20" spans="1:11" ht="14.5">
      <c r="A20" s="46" t="s">
        <v>83</v>
      </c>
      <c r="B20" s="46" t="s">
        <v>90</v>
      </c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customHeight="1">
      <c r="A21" s="46" t="s">
        <v>85</v>
      </c>
      <c r="B21" s="46" t="s">
        <v>91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customHeight="1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ht="15.7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ht="15.7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</row>
    <row r="41" spans="1:11" ht="15.7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</row>
    <row r="42" spans="1:11" ht="15.7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</row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2.81640625" customWidth="1"/>
    <col min="2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53" t="s">
        <v>92</v>
      </c>
      <c r="B4" s="54">
        <f>2500*3/2</f>
        <v>3750</v>
      </c>
      <c r="C4" s="54">
        <f t="shared" ref="C4:D4" si="0">2500*2.5/2</f>
        <v>3125</v>
      </c>
      <c r="D4" s="54">
        <f t="shared" si="0"/>
        <v>3125</v>
      </c>
      <c r="E4" s="54">
        <f t="shared" ref="E4:K4" si="1">2500*1</f>
        <v>2500</v>
      </c>
      <c r="F4" s="54">
        <f t="shared" si="1"/>
        <v>2500</v>
      </c>
      <c r="G4" s="54">
        <f t="shared" si="1"/>
        <v>2500</v>
      </c>
      <c r="H4" s="54">
        <f t="shared" si="1"/>
        <v>2500</v>
      </c>
      <c r="I4" s="54">
        <f t="shared" si="1"/>
        <v>2500</v>
      </c>
      <c r="J4" s="54">
        <f t="shared" si="1"/>
        <v>2500</v>
      </c>
      <c r="K4" s="54">
        <f t="shared" si="1"/>
        <v>2500</v>
      </c>
      <c r="L4" s="15">
        <f t="shared" ref="L4:L8" si="2">SUM(B4:K4)</f>
        <v>27500</v>
      </c>
    </row>
    <row r="5" spans="1:26" ht="14.5">
      <c r="A5" s="53" t="s">
        <v>93</v>
      </c>
      <c r="B5" s="55">
        <f t="shared" ref="B5:K5" si="3">2*8*4*45*14</f>
        <v>40320</v>
      </c>
      <c r="C5" s="55">
        <f t="shared" si="3"/>
        <v>40320</v>
      </c>
      <c r="D5" s="55">
        <f t="shared" si="3"/>
        <v>40320</v>
      </c>
      <c r="E5" s="55">
        <f t="shared" si="3"/>
        <v>40320</v>
      </c>
      <c r="F5" s="55">
        <f t="shared" si="3"/>
        <v>40320</v>
      </c>
      <c r="G5" s="55">
        <f t="shared" si="3"/>
        <v>40320</v>
      </c>
      <c r="H5" s="55">
        <f t="shared" si="3"/>
        <v>40320</v>
      </c>
      <c r="I5" s="55">
        <f t="shared" si="3"/>
        <v>40320</v>
      </c>
      <c r="J5" s="55">
        <f t="shared" si="3"/>
        <v>40320</v>
      </c>
      <c r="K5" s="55">
        <f t="shared" si="3"/>
        <v>40320</v>
      </c>
      <c r="L5" s="15">
        <f t="shared" si="2"/>
        <v>403200</v>
      </c>
    </row>
    <row r="6" spans="1:26" ht="14.5">
      <c r="A6" s="56" t="s">
        <v>94</v>
      </c>
      <c r="B6" s="55">
        <f t="shared" ref="B6:K6" si="4">B5*0.3</f>
        <v>12096</v>
      </c>
      <c r="C6" s="55">
        <f t="shared" si="4"/>
        <v>12096</v>
      </c>
      <c r="D6" s="55">
        <f t="shared" si="4"/>
        <v>12096</v>
      </c>
      <c r="E6" s="55">
        <f t="shared" si="4"/>
        <v>12096</v>
      </c>
      <c r="F6" s="55">
        <f t="shared" si="4"/>
        <v>12096</v>
      </c>
      <c r="G6" s="55">
        <f t="shared" si="4"/>
        <v>12096</v>
      </c>
      <c r="H6" s="55">
        <f t="shared" si="4"/>
        <v>12096</v>
      </c>
      <c r="I6" s="55">
        <f t="shared" si="4"/>
        <v>12096</v>
      </c>
      <c r="J6" s="55">
        <f t="shared" si="4"/>
        <v>12096</v>
      </c>
      <c r="K6" s="55">
        <f t="shared" si="4"/>
        <v>12096</v>
      </c>
      <c r="L6" s="15">
        <f t="shared" si="2"/>
        <v>120960</v>
      </c>
    </row>
    <row r="7" spans="1:26" ht="14.5">
      <c r="A7" s="56" t="s">
        <v>95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15">
        <f t="shared" si="2"/>
        <v>0</v>
      </c>
    </row>
    <row r="8" spans="1:26" ht="14.5">
      <c r="A8" s="56" t="s">
        <v>95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15">
        <f t="shared" si="2"/>
        <v>0</v>
      </c>
    </row>
    <row r="9" spans="1:26" ht="14.5">
      <c r="A9" s="1" t="s">
        <v>15</v>
      </c>
      <c r="B9" s="52">
        <f t="shared" ref="B9:L9" si="5">SUM(B4:B8)</f>
        <v>56166</v>
      </c>
      <c r="C9" s="52">
        <f t="shared" si="5"/>
        <v>55541</v>
      </c>
      <c r="D9" s="52">
        <f t="shared" si="5"/>
        <v>55541</v>
      </c>
      <c r="E9" s="52">
        <f t="shared" si="5"/>
        <v>54916</v>
      </c>
      <c r="F9" s="52">
        <f t="shared" si="5"/>
        <v>54916</v>
      </c>
      <c r="G9" s="52">
        <f t="shared" si="5"/>
        <v>54916</v>
      </c>
      <c r="H9" s="52">
        <f t="shared" si="5"/>
        <v>54916</v>
      </c>
      <c r="I9" s="52">
        <f t="shared" si="5"/>
        <v>54916</v>
      </c>
      <c r="J9" s="52">
        <f t="shared" si="5"/>
        <v>54916</v>
      </c>
      <c r="K9" s="52">
        <f t="shared" si="5"/>
        <v>54916</v>
      </c>
      <c r="L9" s="52">
        <f t="shared" si="5"/>
        <v>551660</v>
      </c>
    </row>
    <row r="11" spans="1:26" ht="14.5">
      <c r="A11" s="44" t="s">
        <v>96</v>
      </c>
    </row>
    <row r="12" spans="1:26" ht="10.5" customHeight="1"/>
    <row r="13" spans="1:26" ht="14.5">
      <c r="A13" s="8" t="s">
        <v>97</v>
      </c>
    </row>
    <row r="14" spans="1:26" ht="14.5">
      <c r="A14" s="8" t="s">
        <v>88</v>
      </c>
    </row>
    <row r="17" spans="1:11" ht="14.5">
      <c r="A17" s="1" t="s">
        <v>70</v>
      </c>
    </row>
    <row r="18" spans="1:11" ht="14.5">
      <c r="A18" s="1" t="s">
        <v>98</v>
      </c>
    </row>
    <row r="19" spans="1:11" ht="14.5">
      <c r="A19" s="1" t="s">
        <v>73</v>
      </c>
    </row>
    <row r="20" spans="1:11" ht="14.5">
      <c r="A20" s="46" t="s">
        <v>92</v>
      </c>
      <c r="B20" s="46" t="s">
        <v>99</v>
      </c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customHeight="1">
      <c r="A21" s="46" t="s">
        <v>100</v>
      </c>
      <c r="B21" s="46" t="s">
        <v>101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Z100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1.54296875" customWidth="1"/>
    <col min="2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56" t="s">
        <v>102</v>
      </c>
      <c r="B4" s="54">
        <f>(450000*0.02)*3/2</f>
        <v>13500</v>
      </c>
      <c r="C4" s="54">
        <f>(450000*0.02)*2.5/2</f>
        <v>11250</v>
      </c>
      <c r="D4" s="54">
        <f t="shared" ref="D4:K4" si="0">(450000*0.02)*2/2</f>
        <v>9000</v>
      </c>
      <c r="E4" s="54">
        <f t="shared" si="0"/>
        <v>9000</v>
      </c>
      <c r="F4" s="54">
        <f t="shared" si="0"/>
        <v>9000</v>
      </c>
      <c r="G4" s="54">
        <f t="shared" si="0"/>
        <v>9000</v>
      </c>
      <c r="H4" s="54">
        <f t="shared" si="0"/>
        <v>9000</v>
      </c>
      <c r="I4" s="54">
        <f t="shared" si="0"/>
        <v>9000</v>
      </c>
      <c r="J4" s="54">
        <f t="shared" si="0"/>
        <v>9000</v>
      </c>
      <c r="K4" s="54">
        <f t="shared" si="0"/>
        <v>9000</v>
      </c>
      <c r="L4" s="15">
        <f t="shared" ref="L4:L11" si="1">SUM(B4:K4)</f>
        <v>96750</v>
      </c>
    </row>
    <row r="5" spans="1:26" ht="14.5">
      <c r="A5" s="56" t="s">
        <v>103</v>
      </c>
      <c r="B5" s="54">
        <f>1500*2.5/2</f>
        <v>1875</v>
      </c>
      <c r="C5" s="54">
        <f>1500*3/2</f>
        <v>2250</v>
      </c>
      <c r="D5" s="54">
        <f>1500*2.5/2</f>
        <v>1875</v>
      </c>
      <c r="E5" s="54">
        <v>1500</v>
      </c>
      <c r="F5" s="54">
        <v>1500</v>
      </c>
      <c r="G5" s="54">
        <v>1500</v>
      </c>
      <c r="H5" s="54">
        <v>1500</v>
      </c>
      <c r="I5" s="54">
        <v>1500</v>
      </c>
      <c r="J5" s="54">
        <v>1500</v>
      </c>
      <c r="K5" s="54">
        <v>1500</v>
      </c>
      <c r="L5" s="15">
        <f t="shared" si="1"/>
        <v>16500</v>
      </c>
    </row>
    <row r="6" spans="1:26" ht="14.5">
      <c r="A6" s="56" t="s">
        <v>104</v>
      </c>
      <c r="B6" s="54"/>
      <c r="C6" s="54">
        <v>500</v>
      </c>
      <c r="D6" s="54">
        <v>500</v>
      </c>
      <c r="E6" s="54"/>
      <c r="F6" s="54">
        <v>500</v>
      </c>
      <c r="G6" s="54"/>
      <c r="H6" s="54">
        <v>1000</v>
      </c>
      <c r="I6" s="54"/>
      <c r="J6" s="54">
        <v>1000</v>
      </c>
      <c r="K6" s="54"/>
      <c r="L6" s="15">
        <f t="shared" si="1"/>
        <v>3500</v>
      </c>
    </row>
    <row r="7" spans="1:26" ht="14.5">
      <c r="A7" s="56" t="s">
        <v>105</v>
      </c>
      <c r="B7" s="54">
        <v>1000</v>
      </c>
      <c r="C7" s="54">
        <v>1000</v>
      </c>
      <c r="D7" s="54">
        <v>1000</v>
      </c>
      <c r="E7" s="54">
        <v>1000</v>
      </c>
      <c r="F7" s="54">
        <v>1000</v>
      </c>
      <c r="G7" s="54">
        <v>1000</v>
      </c>
      <c r="H7" s="54">
        <v>1000</v>
      </c>
      <c r="I7" s="54">
        <v>1000</v>
      </c>
      <c r="J7" s="54">
        <v>1000</v>
      </c>
      <c r="K7" s="54">
        <v>1000</v>
      </c>
      <c r="L7" s="15">
        <f t="shared" si="1"/>
        <v>10000</v>
      </c>
    </row>
    <row r="8" spans="1:26" ht="14.5">
      <c r="A8" s="56" t="s">
        <v>106</v>
      </c>
      <c r="B8" s="55">
        <v>5000</v>
      </c>
      <c r="C8" s="55">
        <v>5000</v>
      </c>
      <c r="D8" s="55">
        <v>5000</v>
      </c>
      <c r="E8" s="55">
        <v>5000</v>
      </c>
      <c r="F8" s="55">
        <v>5000</v>
      </c>
      <c r="G8" s="55">
        <v>5000</v>
      </c>
      <c r="H8" s="55">
        <v>5000</v>
      </c>
      <c r="I8" s="55">
        <v>5000</v>
      </c>
      <c r="J8" s="55">
        <v>5000</v>
      </c>
      <c r="K8" s="55">
        <v>5000</v>
      </c>
      <c r="L8" s="15">
        <f t="shared" si="1"/>
        <v>50000</v>
      </c>
    </row>
    <row r="9" spans="1:26" ht="14.5">
      <c r="A9" s="56" t="s">
        <v>107</v>
      </c>
      <c r="B9" s="55">
        <f t="shared" ref="B9:K9" si="2">4*3000</f>
        <v>12000</v>
      </c>
      <c r="C9" s="55">
        <f t="shared" si="2"/>
        <v>12000</v>
      </c>
      <c r="D9" s="55">
        <f t="shared" si="2"/>
        <v>12000</v>
      </c>
      <c r="E9" s="55">
        <f t="shared" si="2"/>
        <v>12000</v>
      </c>
      <c r="F9" s="55">
        <f t="shared" si="2"/>
        <v>12000</v>
      </c>
      <c r="G9" s="55">
        <f t="shared" si="2"/>
        <v>12000</v>
      </c>
      <c r="H9" s="55">
        <f t="shared" si="2"/>
        <v>12000</v>
      </c>
      <c r="I9" s="55">
        <f t="shared" si="2"/>
        <v>12000</v>
      </c>
      <c r="J9" s="55">
        <f t="shared" si="2"/>
        <v>12000</v>
      </c>
      <c r="K9" s="55">
        <f t="shared" si="2"/>
        <v>12000</v>
      </c>
      <c r="L9" s="15">
        <f t="shared" si="1"/>
        <v>120000</v>
      </c>
    </row>
    <row r="10" spans="1:26" ht="14.5">
      <c r="A10" s="56" t="s">
        <v>108</v>
      </c>
      <c r="B10" s="55">
        <v>3000</v>
      </c>
      <c r="C10" s="55">
        <v>3000</v>
      </c>
      <c r="D10" s="55">
        <v>3000</v>
      </c>
      <c r="E10" s="55">
        <v>3000</v>
      </c>
      <c r="F10" s="55">
        <v>3000</v>
      </c>
      <c r="G10" s="55">
        <v>3000</v>
      </c>
      <c r="H10" s="55">
        <v>3000</v>
      </c>
      <c r="I10" s="55">
        <v>3000</v>
      </c>
      <c r="J10" s="55">
        <v>3000</v>
      </c>
      <c r="K10" s="55">
        <v>3000</v>
      </c>
      <c r="L10" s="15">
        <f t="shared" si="1"/>
        <v>30000</v>
      </c>
    </row>
    <row r="11" spans="1:26" ht="14.5">
      <c r="A11" s="56" t="s">
        <v>109</v>
      </c>
      <c r="B11" s="55">
        <v>1500</v>
      </c>
      <c r="C11" s="55">
        <v>1500</v>
      </c>
      <c r="D11" s="55">
        <v>1500</v>
      </c>
      <c r="E11" s="55">
        <v>1500</v>
      </c>
      <c r="F11" s="55">
        <v>1500</v>
      </c>
      <c r="G11" s="55">
        <v>1500</v>
      </c>
      <c r="H11" s="55">
        <v>1500</v>
      </c>
      <c r="I11" s="55">
        <v>1500</v>
      </c>
      <c r="J11" s="55">
        <v>1500</v>
      </c>
      <c r="K11" s="55">
        <v>1500</v>
      </c>
      <c r="L11" s="15">
        <f t="shared" si="1"/>
        <v>15000</v>
      </c>
    </row>
    <row r="12" spans="1:26" ht="14.5">
      <c r="A12" s="1" t="s">
        <v>110</v>
      </c>
      <c r="B12" s="52">
        <f t="shared" ref="B12:L12" si="3">SUM(B4:B11)</f>
        <v>37875</v>
      </c>
      <c r="C12" s="52">
        <f t="shared" si="3"/>
        <v>36500</v>
      </c>
      <c r="D12" s="52">
        <f t="shared" si="3"/>
        <v>33875</v>
      </c>
      <c r="E12" s="52">
        <f t="shared" si="3"/>
        <v>33000</v>
      </c>
      <c r="F12" s="52">
        <f t="shared" si="3"/>
        <v>33500</v>
      </c>
      <c r="G12" s="52">
        <f t="shared" si="3"/>
        <v>33000</v>
      </c>
      <c r="H12" s="52">
        <f t="shared" si="3"/>
        <v>34000</v>
      </c>
      <c r="I12" s="52">
        <f t="shared" si="3"/>
        <v>33000</v>
      </c>
      <c r="J12" s="52">
        <f t="shared" si="3"/>
        <v>34000</v>
      </c>
      <c r="K12" s="52">
        <f t="shared" si="3"/>
        <v>33000</v>
      </c>
      <c r="L12" s="52">
        <f t="shared" si="3"/>
        <v>341750</v>
      </c>
    </row>
    <row r="14" spans="1:26" ht="14.5">
      <c r="A14" s="8" t="s">
        <v>111</v>
      </c>
    </row>
    <row r="15" spans="1:26" ht="14.5">
      <c r="A15" s="1"/>
    </row>
    <row r="16" spans="1:26" ht="14.5">
      <c r="A16" s="1" t="s">
        <v>70</v>
      </c>
    </row>
    <row r="17" spans="1:11" ht="14.5">
      <c r="A17" s="1" t="s">
        <v>89</v>
      </c>
    </row>
    <row r="18" spans="1:11" ht="14.5">
      <c r="A18" s="46" t="s">
        <v>102</v>
      </c>
      <c r="B18" s="46" t="s">
        <v>112</v>
      </c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14.5">
      <c r="A19" s="46" t="s">
        <v>103</v>
      </c>
      <c r="B19" s="46" t="s">
        <v>113</v>
      </c>
      <c r="C19" s="46"/>
      <c r="D19" s="46"/>
      <c r="E19" s="46"/>
      <c r="F19" s="46"/>
      <c r="G19" s="46"/>
      <c r="H19" s="46"/>
      <c r="I19" s="46"/>
      <c r="J19" s="46"/>
      <c r="K19" s="46"/>
    </row>
    <row r="20" spans="1:11" ht="14.5">
      <c r="A20" s="46" t="s">
        <v>104</v>
      </c>
      <c r="B20" s="46" t="s">
        <v>114</v>
      </c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4.5">
      <c r="A21" s="46" t="s">
        <v>106</v>
      </c>
      <c r="B21" s="46" t="s">
        <v>115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4.5">
      <c r="A22" s="46" t="s">
        <v>107</v>
      </c>
      <c r="B22" s="46" t="s">
        <v>116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4.5">
      <c r="A23" s="46" t="s">
        <v>108</v>
      </c>
      <c r="B23" s="46" t="s">
        <v>117</v>
      </c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4.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customHeight="1"/>
    <row r="37" spans="1:11" ht="15.75" customHeight="1"/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2.54296875" customWidth="1"/>
    <col min="2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56" t="s">
        <v>118</v>
      </c>
      <c r="B4" s="55">
        <v>15000</v>
      </c>
      <c r="C4" s="55">
        <v>15000</v>
      </c>
      <c r="D4" s="55">
        <v>5000</v>
      </c>
      <c r="E4" s="55">
        <v>5000</v>
      </c>
      <c r="F4" s="55">
        <v>5000</v>
      </c>
      <c r="G4" s="55">
        <v>5000</v>
      </c>
      <c r="H4" s="55">
        <v>5000</v>
      </c>
      <c r="I4" s="55">
        <v>5000</v>
      </c>
      <c r="J4" s="55">
        <v>5000</v>
      </c>
      <c r="K4" s="55">
        <v>5000</v>
      </c>
      <c r="L4" s="15">
        <f t="shared" ref="L4:L7" si="0">SUM(B4:K4)</f>
        <v>70000</v>
      </c>
    </row>
    <row r="5" spans="1:26" ht="14.5">
      <c r="A5" s="56"/>
      <c r="B5" s="54"/>
      <c r="C5" s="54"/>
      <c r="D5" s="54"/>
      <c r="E5" s="54"/>
      <c r="F5" s="54"/>
      <c r="G5" s="54"/>
      <c r="H5" s="54"/>
      <c r="I5" s="54"/>
      <c r="J5" s="54"/>
      <c r="K5" s="54"/>
      <c r="L5" s="15">
        <f t="shared" si="0"/>
        <v>0</v>
      </c>
    </row>
    <row r="6" spans="1:26" ht="14.5">
      <c r="A6" s="56"/>
      <c r="B6" s="54"/>
      <c r="C6" s="54"/>
      <c r="D6" s="54"/>
      <c r="E6" s="54"/>
      <c r="F6" s="54"/>
      <c r="G6" s="54"/>
      <c r="H6" s="54"/>
      <c r="I6" s="54"/>
      <c r="J6" s="54"/>
      <c r="K6" s="54"/>
      <c r="L6" s="15">
        <f t="shared" si="0"/>
        <v>0</v>
      </c>
    </row>
    <row r="7" spans="1:26" ht="14.5">
      <c r="A7" s="56"/>
      <c r="B7" s="54"/>
      <c r="C7" s="54"/>
      <c r="D7" s="54"/>
      <c r="E7" s="54"/>
      <c r="F7" s="54"/>
      <c r="G7" s="54"/>
      <c r="H7" s="54"/>
      <c r="I7" s="54"/>
      <c r="J7" s="54"/>
      <c r="K7" s="54"/>
      <c r="L7" s="15">
        <f t="shared" si="0"/>
        <v>0</v>
      </c>
    </row>
    <row r="8" spans="1:26" ht="14.5">
      <c r="A8" s="1" t="s">
        <v>15</v>
      </c>
      <c r="B8" s="52">
        <f t="shared" ref="B8:L8" si="1">SUM(B4:B7)</f>
        <v>15000</v>
      </c>
      <c r="C8" s="52">
        <f t="shared" si="1"/>
        <v>15000</v>
      </c>
      <c r="D8" s="52">
        <f t="shared" si="1"/>
        <v>5000</v>
      </c>
      <c r="E8" s="52">
        <f t="shared" si="1"/>
        <v>5000</v>
      </c>
      <c r="F8" s="52">
        <f t="shared" si="1"/>
        <v>5000</v>
      </c>
      <c r="G8" s="52">
        <f t="shared" si="1"/>
        <v>5000</v>
      </c>
      <c r="H8" s="52">
        <f t="shared" si="1"/>
        <v>5000</v>
      </c>
      <c r="I8" s="52">
        <f t="shared" si="1"/>
        <v>5000</v>
      </c>
      <c r="J8" s="52">
        <f t="shared" si="1"/>
        <v>5000</v>
      </c>
      <c r="K8" s="52">
        <f t="shared" si="1"/>
        <v>5000</v>
      </c>
      <c r="L8" s="52">
        <f t="shared" si="1"/>
        <v>70000</v>
      </c>
    </row>
    <row r="10" spans="1:26" ht="14.5">
      <c r="A10" s="44" t="s">
        <v>119</v>
      </c>
    </row>
    <row r="11" spans="1:26" ht="6.75" customHeight="1"/>
    <row r="13" spans="1:26" ht="14.5">
      <c r="A13" s="1" t="s">
        <v>70</v>
      </c>
    </row>
    <row r="14" spans="1:26" ht="14.5">
      <c r="A14" s="1" t="s">
        <v>89</v>
      </c>
    </row>
    <row r="15" spans="1:26" ht="14.5">
      <c r="A15" s="46" t="s">
        <v>120</v>
      </c>
      <c r="B15" s="46" t="s">
        <v>121</v>
      </c>
      <c r="C15" s="46"/>
      <c r="D15" s="46"/>
      <c r="E15" s="46"/>
      <c r="F15" s="46"/>
      <c r="G15" s="46"/>
      <c r="H15" s="46"/>
      <c r="I15" s="46"/>
      <c r="J15" s="46"/>
      <c r="K15" s="46"/>
    </row>
    <row r="16" spans="1:26" ht="14.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ht="14.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14.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14.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ht="14.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28" customWidth="1"/>
    <col min="2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56" t="s">
        <v>122</v>
      </c>
      <c r="B4" s="54">
        <v>1000</v>
      </c>
      <c r="C4" s="54">
        <v>1000</v>
      </c>
      <c r="D4" s="54">
        <v>1000</v>
      </c>
      <c r="E4" s="54">
        <v>1000</v>
      </c>
      <c r="F4" s="54">
        <v>1000</v>
      </c>
      <c r="G4" s="54">
        <v>1000</v>
      </c>
      <c r="H4" s="54">
        <v>1000</v>
      </c>
      <c r="I4" s="54">
        <v>1000</v>
      </c>
      <c r="J4" s="54">
        <v>1000</v>
      </c>
      <c r="K4" s="54">
        <v>1000</v>
      </c>
      <c r="L4" s="15">
        <f t="shared" ref="L4:L6" si="0">SUM(B4:K4)</f>
        <v>10000</v>
      </c>
    </row>
    <row r="5" spans="1:26" ht="14.5">
      <c r="A5" s="56" t="s">
        <v>123</v>
      </c>
      <c r="B5" s="54">
        <v>10000</v>
      </c>
      <c r="C5" s="54">
        <v>10000</v>
      </c>
      <c r="D5" s="54">
        <v>10000</v>
      </c>
      <c r="E5" s="54">
        <v>10000</v>
      </c>
      <c r="F5" s="54">
        <v>10000</v>
      </c>
      <c r="G5" s="54">
        <v>10000</v>
      </c>
      <c r="H5" s="54">
        <v>10000</v>
      </c>
      <c r="I5" s="54">
        <v>10000</v>
      </c>
      <c r="J5" s="54">
        <v>10000</v>
      </c>
      <c r="K5" s="54">
        <v>10000</v>
      </c>
      <c r="L5" s="15">
        <f t="shared" si="0"/>
        <v>100000</v>
      </c>
    </row>
    <row r="6" spans="1:26" ht="14.5">
      <c r="A6" s="56" t="s">
        <v>124</v>
      </c>
      <c r="B6" s="54">
        <v>3500</v>
      </c>
      <c r="C6" s="54">
        <v>3500</v>
      </c>
      <c r="D6" s="54">
        <v>3500</v>
      </c>
      <c r="E6" s="54">
        <v>3500</v>
      </c>
      <c r="F6" s="54">
        <v>3500</v>
      </c>
      <c r="G6" s="54">
        <v>3500</v>
      </c>
      <c r="H6" s="54">
        <v>3500</v>
      </c>
      <c r="I6" s="54">
        <v>3500</v>
      </c>
      <c r="J6" s="54">
        <v>3500</v>
      </c>
      <c r="K6" s="54">
        <v>3500</v>
      </c>
      <c r="L6" s="15">
        <f t="shared" si="0"/>
        <v>35000</v>
      </c>
    </row>
    <row r="7" spans="1:26" ht="14.5">
      <c r="A7" s="1" t="s">
        <v>15</v>
      </c>
      <c r="B7" s="52">
        <f t="shared" ref="B7:L7" si="1">SUM(B4:B6)</f>
        <v>14500</v>
      </c>
      <c r="C7" s="52">
        <f t="shared" si="1"/>
        <v>14500</v>
      </c>
      <c r="D7" s="52">
        <f t="shared" si="1"/>
        <v>14500</v>
      </c>
      <c r="E7" s="52">
        <f t="shared" si="1"/>
        <v>14500</v>
      </c>
      <c r="F7" s="52">
        <f t="shared" si="1"/>
        <v>14500</v>
      </c>
      <c r="G7" s="52">
        <f t="shared" si="1"/>
        <v>14500</v>
      </c>
      <c r="H7" s="52">
        <f t="shared" si="1"/>
        <v>14500</v>
      </c>
      <c r="I7" s="52">
        <f t="shared" si="1"/>
        <v>14500</v>
      </c>
      <c r="J7" s="52">
        <f t="shared" si="1"/>
        <v>14500</v>
      </c>
      <c r="K7" s="52">
        <f t="shared" si="1"/>
        <v>14500</v>
      </c>
      <c r="L7" s="52">
        <f t="shared" si="1"/>
        <v>145000</v>
      </c>
    </row>
    <row r="9" spans="1:26" ht="14.5">
      <c r="A9" s="44" t="s">
        <v>125</v>
      </c>
    </row>
    <row r="11" spans="1:26" ht="14.5">
      <c r="A11" s="1" t="s">
        <v>70</v>
      </c>
    </row>
    <row r="12" spans="1:26" ht="14.5">
      <c r="A12" s="1" t="s">
        <v>89</v>
      </c>
    </row>
    <row r="13" spans="1:26" ht="14.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26" ht="14.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26" ht="14.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26" ht="14.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ht="14.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ht="14.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ht="14.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ht="14.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1" ht="15.7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5.7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</row>
    <row r="23" spans="1:11" ht="15.7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 ht="15.7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ht="15.7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11" ht="15.7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1" ht="15.7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</row>
    <row r="28" spans="1:11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29" spans="1:11" ht="15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1:11" ht="15.7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ht="15.7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7.453125" customWidth="1"/>
    <col min="2" max="2" width="8.7265625" customWidth="1"/>
    <col min="3" max="11" width="10.54296875" customWidth="1"/>
    <col min="12" max="12" width="11.54296875" customWidth="1"/>
    <col min="13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7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59" t="s">
        <v>126</v>
      </c>
      <c r="B4" s="15">
        <f t="shared" ref="B4:K4" si="0">B23</f>
        <v>13061.6</v>
      </c>
      <c r="C4" s="15">
        <f t="shared" si="0"/>
        <v>12536.6</v>
      </c>
      <c r="D4" s="15">
        <f t="shared" si="0"/>
        <v>12536.6</v>
      </c>
      <c r="E4" s="15">
        <f t="shared" si="0"/>
        <v>12064.1</v>
      </c>
      <c r="F4" s="15">
        <f t="shared" si="0"/>
        <v>12064.1</v>
      </c>
      <c r="G4" s="15">
        <f t="shared" si="0"/>
        <v>12064.1</v>
      </c>
      <c r="H4" s="15">
        <f t="shared" si="0"/>
        <v>12064.1</v>
      </c>
      <c r="I4" s="15">
        <f t="shared" si="0"/>
        <v>12064.1</v>
      </c>
      <c r="J4" s="15">
        <f t="shared" si="0"/>
        <v>12064.1</v>
      </c>
      <c r="K4" s="15">
        <f t="shared" si="0"/>
        <v>12064.1</v>
      </c>
      <c r="L4" s="15">
        <f>SUM(B4:K4)</f>
        <v>122583.50000000003</v>
      </c>
    </row>
    <row r="5" spans="1:26" ht="14.5">
      <c r="A5" s="1" t="s">
        <v>15</v>
      </c>
      <c r="B5" s="52">
        <f t="shared" ref="B5:L5" si="1">SUM(B4)</f>
        <v>13061.6</v>
      </c>
      <c r="C5" s="52">
        <f t="shared" si="1"/>
        <v>12536.6</v>
      </c>
      <c r="D5" s="52">
        <f t="shared" si="1"/>
        <v>12536.6</v>
      </c>
      <c r="E5" s="52">
        <f t="shared" si="1"/>
        <v>12064.1</v>
      </c>
      <c r="F5" s="52">
        <f t="shared" si="1"/>
        <v>12064.1</v>
      </c>
      <c r="G5" s="52">
        <f t="shared" si="1"/>
        <v>12064.1</v>
      </c>
      <c r="H5" s="52">
        <f t="shared" si="1"/>
        <v>12064.1</v>
      </c>
      <c r="I5" s="52">
        <f t="shared" si="1"/>
        <v>12064.1</v>
      </c>
      <c r="J5" s="52">
        <f t="shared" si="1"/>
        <v>12064.1</v>
      </c>
      <c r="K5" s="52">
        <f t="shared" si="1"/>
        <v>12064.1</v>
      </c>
      <c r="L5" s="52">
        <f t="shared" si="1"/>
        <v>122583.50000000003</v>
      </c>
    </row>
    <row r="7" spans="1:26" ht="14.5">
      <c r="A7" s="44" t="s">
        <v>127</v>
      </c>
    </row>
    <row r="8" spans="1:26" ht="14.5">
      <c r="A8" s="44" t="s">
        <v>128</v>
      </c>
    </row>
    <row r="9" spans="1:26" ht="6" customHeight="1"/>
    <row r="11" spans="1:26" ht="14.5">
      <c r="A11" s="1" t="s">
        <v>129</v>
      </c>
    </row>
    <row r="12" spans="1:26" ht="14.5">
      <c r="A12" s="1" t="s">
        <v>130</v>
      </c>
    </row>
    <row r="13" spans="1:26" ht="14.5">
      <c r="A13" s="1" t="s">
        <v>131</v>
      </c>
    </row>
    <row r="14" spans="1:26" ht="14.5">
      <c r="A14" s="1" t="s">
        <v>132</v>
      </c>
    </row>
    <row r="15" spans="1:26" ht="14.5">
      <c r="A15" s="1" t="s">
        <v>133</v>
      </c>
      <c r="B15" s="60"/>
      <c r="C15" s="60"/>
      <c r="D15" s="60"/>
      <c r="E15" s="60"/>
      <c r="F15" s="60"/>
    </row>
    <row r="16" spans="1:26" ht="14.5">
      <c r="A16" s="1" t="s">
        <v>134</v>
      </c>
      <c r="B16" s="60"/>
      <c r="C16" s="60"/>
      <c r="D16" s="60"/>
      <c r="E16" s="60"/>
      <c r="F16" s="60"/>
    </row>
    <row r="17" spans="1:12" ht="14.5">
      <c r="A17" s="1" t="s">
        <v>135</v>
      </c>
      <c r="B17" s="60"/>
      <c r="C17" s="60"/>
      <c r="D17" s="60"/>
      <c r="E17" s="60"/>
      <c r="F17" s="60"/>
    </row>
    <row r="18" spans="1:12" ht="14.5">
      <c r="B18" s="61" t="s">
        <v>5</v>
      </c>
      <c r="C18" s="62" t="s">
        <v>6</v>
      </c>
      <c r="D18" s="62" t="s">
        <v>7</v>
      </c>
      <c r="E18" s="62" t="s">
        <v>8</v>
      </c>
      <c r="F18" s="62" t="s">
        <v>9</v>
      </c>
      <c r="G18" s="62" t="s">
        <v>10</v>
      </c>
      <c r="H18" s="62" t="s">
        <v>11</v>
      </c>
      <c r="I18" s="62" t="s">
        <v>12</v>
      </c>
      <c r="J18" s="62" t="s">
        <v>13</v>
      </c>
      <c r="K18" s="62" t="s">
        <v>14</v>
      </c>
      <c r="L18" s="62" t="s">
        <v>15</v>
      </c>
    </row>
    <row r="19" spans="1:12" ht="14.5">
      <c r="A19" s="8" t="s">
        <v>136</v>
      </c>
      <c r="B19" s="63">
        <f>Income!B9</f>
        <v>163270</v>
      </c>
      <c r="C19" s="63">
        <f>Income!C9</f>
        <v>156707.5</v>
      </c>
      <c r="D19" s="63">
        <f>Income!D9</f>
        <v>156707.5</v>
      </c>
      <c r="E19" s="63">
        <f>Income!E9</f>
        <v>150801.25</v>
      </c>
      <c r="F19" s="63">
        <f>Income!F9</f>
        <v>150801.25</v>
      </c>
      <c r="G19" s="63">
        <f>Income!G9</f>
        <v>150801.25</v>
      </c>
      <c r="H19" s="63">
        <f>Income!H9</f>
        <v>150801.25</v>
      </c>
      <c r="I19" s="63">
        <f>Income!I9</f>
        <v>150801.25</v>
      </c>
      <c r="J19" s="63">
        <f>Income!J9</f>
        <v>150801.25</v>
      </c>
      <c r="K19" s="63">
        <f>Income!K9</f>
        <v>150801.25</v>
      </c>
      <c r="L19" s="64">
        <f>SUM(B19:K19)</f>
        <v>1532293.75</v>
      </c>
    </row>
    <row r="20" spans="1:12" ht="21" customHeight="1">
      <c r="A20" s="8" t="s">
        <v>137</v>
      </c>
      <c r="B20" s="65">
        <v>0.08</v>
      </c>
      <c r="C20" s="65">
        <v>0.08</v>
      </c>
      <c r="D20" s="65">
        <v>0.08</v>
      </c>
      <c r="E20" s="65">
        <v>0.08</v>
      </c>
      <c r="F20" s="65">
        <v>0.08</v>
      </c>
      <c r="G20" s="65">
        <v>0.08</v>
      </c>
      <c r="H20" s="65">
        <v>0.08</v>
      </c>
      <c r="I20" s="65">
        <v>0.08</v>
      </c>
      <c r="J20" s="65">
        <v>0.08</v>
      </c>
      <c r="K20" s="65">
        <v>0.08</v>
      </c>
      <c r="L20" s="66"/>
    </row>
    <row r="21" spans="1:12" ht="15.75" customHeight="1">
      <c r="A21" s="59" t="s">
        <v>138</v>
      </c>
      <c r="B21" s="63">
        <f t="shared" ref="B21:K21" si="2">B19*B20</f>
        <v>13061.6</v>
      </c>
      <c r="C21" s="63">
        <f t="shared" si="2"/>
        <v>12536.6</v>
      </c>
      <c r="D21" s="63">
        <f t="shared" si="2"/>
        <v>12536.6</v>
      </c>
      <c r="E21" s="63">
        <f t="shared" si="2"/>
        <v>12064.1</v>
      </c>
      <c r="F21" s="63">
        <f t="shared" si="2"/>
        <v>12064.1</v>
      </c>
      <c r="G21" s="63">
        <f t="shared" si="2"/>
        <v>12064.1</v>
      </c>
      <c r="H21" s="63">
        <f t="shared" si="2"/>
        <v>12064.1</v>
      </c>
      <c r="I21" s="63">
        <f t="shared" si="2"/>
        <v>12064.1</v>
      </c>
      <c r="J21" s="63">
        <f t="shared" si="2"/>
        <v>12064.1</v>
      </c>
      <c r="K21" s="63">
        <f t="shared" si="2"/>
        <v>12064.1</v>
      </c>
      <c r="L21" s="64">
        <f t="shared" ref="L21:L23" si="3">SUM(B21:K21)</f>
        <v>122583.50000000003</v>
      </c>
    </row>
    <row r="22" spans="1:12" ht="15.75" customHeight="1">
      <c r="A22" s="8" t="s">
        <v>139</v>
      </c>
      <c r="B22" s="67">
        <v>3000</v>
      </c>
      <c r="C22" s="67">
        <v>3000</v>
      </c>
      <c r="D22" s="67">
        <v>3000</v>
      </c>
      <c r="E22" s="67">
        <v>3000</v>
      </c>
      <c r="F22" s="67">
        <v>3000</v>
      </c>
      <c r="G22" s="67">
        <v>3000</v>
      </c>
      <c r="H22" s="67">
        <v>3000</v>
      </c>
      <c r="I22" s="67">
        <v>3000</v>
      </c>
      <c r="J22" s="67">
        <v>3000</v>
      </c>
      <c r="K22" s="67">
        <v>3000</v>
      </c>
      <c r="L22" s="68">
        <f t="shared" si="3"/>
        <v>30000</v>
      </c>
    </row>
    <row r="23" spans="1:12" ht="15.75" customHeight="1">
      <c r="A23" s="59" t="s">
        <v>140</v>
      </c>
      <c r="B23" s="69">
        <f t="shared" ref="B23:K23" si="4">MAX(B21,B22)</f>
        <v>13061.6</v>
      </c>
      <c r="C23" s="69">
        <f t="shared" si="4"/>
        <v>12536.6</v>
      </c>
      <c r="D23" s="69">
        <f t="shared" si="4"/>
        <v>12536.6</v>
      </c>
      <c r="E23" s="69">
        <f t="shared" si="4"/>
        <v>12064.1</v>
      </c>
      <c r="F23" s="69">
        <f t="shared" si="4"/>
        <v>12064.1</v>
      </c>
      <c r="G23" s="69">
        <f t="shared" si="4"/>
        <v>12064.1</v>
      </c>
      <c r="H23" s="69">
        <f t="shared" si="4"/>
        <v>12064.1</v>
      </c>
      <c r="I23" s="69">
        <f t="shared" si="4"/>
        <v>12064.1</v>
      </c>
      <c r="J23" s="69">
        <f t="shared" si="4"/>
        <v>12064.1</v>
      </c>
      <c r="K23" s="69">
        <f t="shared" si="4"/>
        <v>12064.1</v>
      </c>
      <c r="L23" s="68">
        <f t="shared" si="3"/>
        <v>122583.50000000003</v>
      </c>
    </row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53125" defaultRowHeight="15" customHeight="1"/>
  <cols>
    <col min="1" max="1" width="34.54296875" customWidth="1"/>
    <col min="2" max="26" width="8.7265625" customWidth="1"/>
  </cols>
  <sheetData>
    <row r="1" spans="1:26" ht="14.5">
      <c r="A1" s="8" t="s">
        <v>50</v>
      </c>
      <c r="B1" s="8" t="str">
        <f>'Financial Summary'!D3</f>
        <v>Gravitate North East Pitfichie Hill</v>
      </c>
    </row>
    <row r="2" spans="1:26" ht="14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7"/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7" t="s">
        <v>58</v>
      </c>
      <c r="I3" s="7" t="s">
        <v>59</v>
      </c>
      <c r="J3" s="7" t="s">
        <v>60</v>
      </c>
      <c r="K3" s="7" t="s">
        <v>61</v>
      </c>
      <c r="L3" s="7" t="s">
        <v>15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56" t="s">
        <v>141</v>
      </c>
      <c r="B4" s="54">
        <v>5000</v>
      </c>
      <c r="C4" s="54">
        <v>5000</v>
      </c>
      <c r="D4" s="54">
        <v>5000</v>
      </c>
      <c r="E4" s="54"/>
      <c r="F4" s="54"/>
      <c r="G4" s="54"/>
      <c r="H4" s="54"/>
      <c r="I4" s="54"/>
      <c r="J4" s="54"/>
      <c r="K4" s="54"/>
      <c r="L4" s="15">
        <f t="shared" ref="L4:L6" si="0">SUM(B4:K4)</f>
        <v>15000</v>
      </c>
    </row>
    <row r="5" spans="1:26" ht="14.5">
      <c r="A5" s="56" t="s">
        <v>142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15">
        <f t="shared" si="0"/>
        <v>0</v>
      </c>
    </row>
    <row r="6" spans="1:26" ht="14.5">
      <c r="A6" s="56" t="s">
        <v>142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15">
        <f t="shared" si="0"/>
        <v>0</v>
      </c>
    </row>
    <row r="7" spans="1:26" ht="14.5">
      <c r="A7" s="1" t="s">
        <v>15</v>
      </c>
      <c r="B7" s="52">
        <f t="shared" ref="B7:L7" si="1">SUM(B4:B6)</f>
        <v>5000</v>
      </c>
      <c r="C7" s="52">
        <f t="shared" si="1"/>
        <v>5000</v>
      </c>
      <c r="D7" s="52">
        <f t="shared" si="1"/>
        <v>5000</v>
      </c>
      <c r="E7" s="52">
        <f t="shared" si="1"/>
        <v>0</v>
      </c>
      <c r="F7" s="52">
        <f t="shared" si="1"/>
        <v>0</v>
      </c>
      <c r="G7" s="52">
        <f t="shared" si="1"/>
        <v>0</v>
      </c>
      <c r="H7" s="52">
        <f t="shared" si="1"/>
        <v>0</v>
      </c>
      <c r="I7" s="52">
        <f t="shared" si="1"/>
        <v>0</v>
      </c>
      <c r="J7" s="52">
        <f t="shared" si="1"/>
        <v>0</v>
      </c>
      <c r="K7" s="52">
        <f t="shared" si="1"/>
        <v>0</v>
      </c>
      <c r="L7" s="52">
        <f t="shared" si="1"/>
        <v>15000</v>
      </c>
    </row>
    <row r="9" spans="1:26" ht="14.5">
      <c r="A9" s="44" t="s">
        <v>143</v>
      </c>
    </row>
    <row r="11" spans="1:26" ht="14.5">
      <c r="A11" s="1" t="s">
        <v>70</v>
      </c>
    </row>
    <row r="12" spans="1:26" ht="14.5">
      <c r="A12" s="1" t="s">
        <v>72</v>
      </c>
    </row>
    <row r="13" spans="1:26" ht="14.5">
      <c r="A13" s="46" t="s">
        <v>144</v>
      </c>
      <c r="B13" s="46" t="s">
        <v>145</v>
      </c>
      <c r="C13" s="46"/>
      <c r="D13" s="46"/>
      <c r="E13" s="46"/>
      <c r="F13" s="46"/>
      <c r="G13" s="46"/>
      <c r="H13" s="46"/>
      <c r="I13" s="46"/>
      <c r="J13" s="46"/>
      <c r="K13" s="46"/>
    </row>
    <row r="14" spans="1:26" ht="14.5">
      <c r="A14" s="46"/>
      <c r="B14" s="46" t="s">
        <v>146</v>
      </c>
      <c r="C14" s="46"/>
      <c r="D14" s="46"/>
      <c r="E14" s="46"/>
      <c r="F14" s="46"/>
      <c r="G14" s="46"/>
      <c r="H14" s="46"/>
      <c r="I14" s="46"/>
      <c r="J14" s="46"/>
      <c r="K14" s="46"/>
    </row>
    <row r="15" spans="1:26" ht="14.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1:26" ht="14.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ht="14.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14.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14.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ht="14.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Financial Summary</vt:lpstr>
      <vt:lpstr>Income</vt:lpstr>
      <vt:lpstr>Costs Of Sales</vt:lpstr>
      <vt:lpstr>Staffing</vt:lpstr>
      <vt:lpstr>Building Costs</vt:lpstr>
      <vt:lpstr>Marketing </vt:lpstr>
      <vt:lpstr>Finance&amp;Admin</vt:lpstr>
      <vt:lpstr>FLS Rent</vt:lpstr>
      <vt:lpstr>Other Costs</vt:lpstr>
      <vt:lpstr>Capital Invest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2026-08-07T10:41:09Z</dcterms:created>
  <dcterms:modified xsi:type="dcterms:W3CDTF">2026-08-07T10:41:26Z</dcterms:modified>
</cp:coreProperties>
</file>