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W:\CATS Activity\ASSET TRANSFER REQUESTS\22-23-04NWIP Taymount and Five Mile\"/>
    </mc:Choice>
  </mc:AlternateContent>
  <xr:revisionPtr revIDLastSave="0" documentId="13_ncr:1_{B3AC9736-7F52-491D-937C-B665B862C5A3}" xr6:coauthVersionLast="47" xr6:coauthVersionMax="47" xr10:uidLastSave="{00000000-0000-0000-0000-000000000000}"/>
  <bookViews>
    <workbookView xWindow="-108" yWindow="-108" windowWidth="23256" windowHeight="14016" xr2:uid="{EB43931E-BDF7-4E00-8D31-BD18202A42F6}"/>
  </bookViews>
  <sheets>
    <sheet name="WSWG Financial Projections&amp;P&amp;L" sheetId="3" r:id="rId1"/>
    <sheet name="Sheet2" sheetId="4"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64" i="3" l="1"/>
  <c r="L232" i="3"/>
  <c r="L219" i="3"/>
  <c r="L181" i="3"/>
  <c r="L194" i="3"/>
  <c r="L289" i="3" l="1"/>
  <c r="N289" i="3"/>
  <c r="O289" i="3"/>
  <c r="P289" i="3"/>
  <c r="Q289" i="3"/>
  <c r="R289" i="3"/>
  <c r="S289" i="3"/>
  <c r="T289" i="3"/>
  <c r="U289" i="3"/>
  <c r="V289" i="3"/>
  <c r="W289" i="3"/>
  <c r="X289" i="3"/>
  <c r="Y289" i="3"/>
  <c r="Z289" i="3"/>
  <c r="AA289" i="3"/>
  <c r="M289" i="3"/>
  <c r="N137" i="3"/>
  <c r="O137" i="3"/>
  <c r="O278" i="3" s="1"/>
  <c r="P137" i="3"/>
  <c r="P278" i="3" s="1"/>
  <c r="Q137" i="3"/>
  <c r="Q278" i="3" s="1"/>
  <c r="R137" i="3"/>
  <c r="R278" i="3" s="1"/>
  <c r="S137" i="3"/>
  <c r="S278" i="3" s="1"/>
  <c r="T137" i="3"/>
  <c r="T278" i="3" s="1"/>
  <c r="U137" i="3"/>
  <c r="U278" i="3" s="1"/>
  <c r="V137" i="3"/>
  <c r="V278" i="3" s="1"/>
  <c r="W137" i="3"/>
  <c r="W278" i="3" s="1"/>
  <c r="X137" i="3"/>
  <c r="X278" i="3" s="1"/>
  <c r="Y137" i="3"/>
  <c r="Y278" i="3" s="1"/>
  <c r="Z137" i="3"/>
  <c r="Z278" i="3" s="1"/>
  <c r="AA137" i="3"/>
  <c r="AA278" i="3" s="1"/>
  <c r="M137" i="3"/>
  <c r="M278" i="3" s="1"/>
  <c r="AB88" i="3"/>
  <c r="C283" i="3"/>
  <c r="D283" i="3"/>
  <c r="E283" i="3"/>
  <c r="F286" i="3"/>
  <c r="L286" i="3" s="1"/>
  <c r="AC286" i="3" s="1"/>
  <c r="G283" i="3"/>
  <c r="H283" i="3"/>
  <c r="I283" i="3"/>
  <c r="J283" i="3"/>
  <c r="K283" i="3"/>
  <c r="B283" i="3"/>
  <c r="L66" i="3"/>
  <c r="L283" i="3" l="1"/>
  <c r="AC283" i="3" s="1"/>
  <c r="AB137" i="3"/>
  <c r="AB278" i="3" s="1"/>
  <c r="AB289" i="3"/>
  <c r="AC289" i="3" s="1"/>
  <c r="N278" i="3"/>
  <c r="L204" i="3"/>
  <c r="L230" i="3" l="1"/>
  <c r="L231" i="3"/>
  <c r="L221" i="3"/>
  <c r="L222" i="3"/>
  <c r="L223" i="3"/>
  <c r="L224" i="3"/>
  <c r="L225" i="3"/>
  <c r="L226" i="3"/>
  <c r="L227" i="3"/>
  <c r="L228" i="3"/>
  <c r="L229" i="3"/>
  <c r="L193" i="3"/>
  <c r="C147" i="3"/>
  <c r="D147" i="3"/>
  <c r="E147" i="3"/>
  <c r="F147" i="3"/>
  <c r="G147" i="3"/>
  <c r="K147" i="3"/>
  <c r="B147" i="3"/>
  <c r="C137" i="3"/>
  <c r="C278" i="3" s="1"/>
  <c r="D137" i="3"/>
  <c r="D278" i="3" s="1"/>
  <c r="E137" i="3"/>
  <c r="F137" i="3"/>
  <c r="F278" i="3" s="1"/>
  <c r="G137" i="3"/>
  <c r="G278" i="3" s="1"/>
  <c r="H137" i="3"/>
  <c r="H278" i="3" s="1"/>
  <c r="I137" i="3"/>
  <c r="I278" i="3" s="1"/>
  <c r="J137" i="3"/>
  <c r="J278" i="3" s="1"/>
  <c r="K137" i="3"/>
  <c r="K278" i="3" s="1"/>
  <c r="B137" i="3"/>
  <c r="B278" i="3" s="1"/>
  <c r="C205" i="3"/>
  <c r="D205" i="3"/>
  <c r="E205" i="3"/>
  <c r="F205" i="3"/>
  <c r="B205" i="3"/>
  <c r="B94" i="3"/>
  <c r="B166" i="3" s="1"/>
  <c r="K95" i="3"/>
  <c r="K205" i="3" s="1"/>
  <c r="J95" i="3"/>
  <c r="J205" i="3" s="1"/>
  <c r="I95" i="3"/>
  <c r="I205" i="3" s="1"/>
  <c r="H95" i="3"/>
  <c r="H205" i="3" s="1"/>
  <c r="G95" i="3"/>
  <c r="G205" i="3" s="1"/>
  <c r="K94" i="3"/>
  <c r="K166" i="3" s="1"/>
  <c r="J94" i="3"/>
  <c r="J166" i="3" s="1"/>
  <c r="I94" i="3"/>
  <c r="I166" i="3" s="1"/>
  <c r="H94" i="3"/>
  <c r="H166" i="3" s="1"/>
  <c r="G94" i="3"/>
  <c r="G166" i="3" s="1"/>
  <c r="F94" i="3"/>
  <c r="F166" i="3" s="1"/>
  <c r="E94" i="3"/>
  <c r="E166" i="3" s="1"/>
  <c r="D94" i="3"/>
  <c r="D166" i="3" s="1"/>
  <c r="C94" i="3"/>
  <c r="C166" i="3" s="1"/>
  <c r="E148" i="3" l="1"/>
  <c r="E216" i="3" s="1"/>
  <c r="E278" i="3"/>
  <c r="L166" i="3"/>
  <c r="L205" i="3"/>
  <c r="D148" i="3"/>
  <c r="D216" i="3" s="1"/>
  <c r="G148" i="3"/>
  <c r="G216" i="3" s="1"/>
  <c r="F148" i="3"/>
  <c r="F216" i="3" s="1"/>
  <c r="K148" i="3"/>
  <c r="K216" i="3" s="1"/>
  <c r="L137" i="3"/>
  <c r="C148" i="3"/>
  <c r="C216" i="3" s="1"/>
  <c r="B148" i="3"/>
  <c r="B216" i="3" s="1"/>
  <c r="L95" i="3"/>
  <c r="L94" i="3"/>
  <c r="L278" i="3" l="1"/>
  <c r="AC137" i="3"/>
  <c r="AC278" i="3" s="1"/>
  <c r="L97" i="3"/>
  <c r="AB126" i="3" l="1"/>
  <c r="L126" i="3"/>
  <c r="K285" i="3"/>
  <c r="G285" i="3"/>
  <c r="F285" i="3"/>
  <c r="E285" i="3"/>
  <c r="D285" i="3"/>
  <c r="C285" i="3"/>
  <c r="B285" i="3"/>
  <c r="R260" i="3"/>
  <c r="L192" i="3"/>
  <c r="L191" i="3"/>
  <c r="L190" i="3"/>
  <c r="L189" i="3"/>
  <c r="L188" i="3"/>
  <c r="L187" i="3"/>
  <c r="L186" i="3"/>
  <c r="L185" i="3"/>
  <c r="L184" i="3"/>
  <c r="L167" i="3"/>
  <c r="AA156" i="3"/>
  <c r="AA271" i="3" s="1"/>
  <c r="Z156" i="3"/>
  <c r="Z271" i="3" s="1"/>
  <c r="Y156" i="3"/>
  <c r="Y271" i="3" s="1"/>
  <c r="X156" i="3"/>
  <c r="X271" i="3" s="1"/>
  <c r="W156" i="3"/>
  <c r="W271" i="3" s="1"/>
  <c r="V156" i="3"/>
  <c r="V271" i="3" s="1"/>
  <c r="U156" i="3"/>
  <c r="U271" i="3" s="1"/>
  <c r="T156" i="3"/>
  <c r="T271" i="3" s="1"/>
  <c r="S156" i="3"/>
  <c r="S271" i="3" s="1"/>
  <c r="R156" i="3"/>
  <c r="R271" i="3" s="1"/>
  <c r="Q156" i="3"/>
  <c r="Q271" i="3" s="1"/>
  <c r="P156" i="3"/>
  <c r="P271" i="3" s="1"/>
  <c r="O156" i="3"/>
  <c r="O271" i="3" s="1"/>
  <c r="N156" i="3"/>
  <c r="N271" i="3" s="1"/>
  <c r="M156" i="3"/>
  <c r="K156" i="3"/>
  <c r="K271" i="3" s="1"/>
  <c r="J156" i="3"/>
  <c r="J271" i="3" s="1"/>
  <c r="I156" i="3"/>
  <c r="I271" i="3" s="1"/>
  <c r="H156" i="3"/>
  <c r="H271" i="3" s="1"/>
  <c r="G156" i="3"/>
  <c r="G271" i="3" s="1"/>
  <c r="F156" i="3"/>
  <c r="F271" i="3" s="1"/>
  <c r="E156" i="3"/>
  <c r="E271" i="3" s="1"/>
  <c r="D156" i="3"/>
  <c r="D271" i="3" s="1"/>
  <c r="C156" i="3"/>
  <c r="C271" i="3" s="1"/>
  <c r="B156" i="3"/>
  <c r="AB155" i="3"/>
  <c r="AC155" i="3" s="1"/>
  <c r="AB154" i="3"/>
  <c r="AC154" i="3" s="1"/>
  <c r="AB153" i="3"/>
  <c r="AC153" i="3" s="1"/>
  <c r="AB152" i="3"/>
  <c r="L152" i="3"/>
  <c r="AA148" i="3"/>
  <c r="AA270" i="3" s="1"/>
  <c r="Z148" i="3"/>
  <c r="Z270" i="3" s="1"/>
  <c r="Y148" i="3"/>
  <c r="Y270" i="3" s="1"/>
  <c r="X148" i="3"/>
  <c r="X270" i="3" s="1"/>
  <c r="W148" i="3"/>
  <c r="W270" i="3" s="1"/>
  <c r="V148" i="3"/>
  <c r="V270" i="3" s="1"/>
  <c r="U148" i="3"/>
  <c r="U270" i="3" s="1"/>
  <c r="T148" i="3"/>
  <c r="T270" i="3" s="1"/>
  <c r="S148" i="3"/>
  <c r="S270" i="3" s="1"/>
  <c r="R148" i="3"/>
  <c r="R270" i="3" s="1"/>
  <c r="Q148" i="3"/>
  <c r="Q270" i="3" s="1"/>
  <c r="P148" i="3"/>
  <c r="P270" i="3" s="1"/>
  <c r="O148" i="3"/>
  <c r="O270" i="3" s="1"/>
  <c r="K270" i="3"/>
  <c r="G270" i="3"/>
  <c r="F270" i="3"/>
  <c r="E270" i="3"/>
  <c r="D270" i="3"/>
  <c r="C270" i="3"/>
  <c r="B270" i="3"/>
  <c r="AB146" i="3"/>
  <c r="L146" i="3"/>
  <c r="M148" i="3"/>
  <c r="M270" i="3" s="1"/>
  <c r="I147" i="3"/>
  <c r="I148" i="3" s="1"/>
  <c r="I216" i="3" s="1"/>
  <c r="H147" i="3"/>
  <c r="AB143" i="3"/>
  <c r="L143" i="3"/>
  <c r="AB141" i="3"/>
  <c r="L141" i="3"/>
  <c r="AB139" i="3"/>
  <c r="L139" i="3"/>
  <c r="AB136" i="3"/>
  <c r="L136" i="3"/>
  <c r="AB135" i="3"/>
  <c r="L135" i="3"/>
  <c r="AA128" i="3"/>
  <c r="Z128" i="3"/>
  <c r="Y128" i="3"/>
  <c r="X128" i="3"/>
  <c r="W128" i="3"/>
  <c r="V128" i="3"/>
  <c r="U128" i="3"/>
  <c r="T128" i="3"/>
  <c r="S128" i="3"/>
  <c r="R128" i="3"/>
  <c r="Q128" i="3"/>
  <c r="P128" i="3"/>
  <c r="O128" i="3"/>
  <c r="N128" i="3"/>
  <c r="M128" i="3"/>
  <c r="K128" i="3"/>
  <c r="J128" i="3"/>
  <c r="I128" i="3"/>
  <c r="H128" i="3"/>
  <c r="G128" i="3"/>
  <c r="F128" i="3"/>
  <c r="E128" i="3"/>
  <c r="D128" i="3"/>
  <c r="C128" i="3"/>
  <c r="B128" i="3"/>
  <c r="AB124" i="3"/>
  <c r="L124" i="3"/>
  <c r="AB122" i="3"/>
  <c r="L122" i="3"/>
  <c r="AB121" i="3"/>
  <c r="L121" i="3"/>
  <c r="AB119" i="3"/>
  <c r="L119" i="3"/>
  <c r="AB117" i="3"/>
  <c r="L117" i="3"/>
  <c r="AA115" i="3"/>
  <c r="AA277" i="3" s="1"/>
  <c r="Z115" i="3"/>
  <c r="Z277" i="3" s="1"/>
  <c r="Y115" i="3"/>
  <c r="X115" i="3"/>
  <c r="X277" i="3" s="1"/>
  <c r="W115" i="3"/>
  <c r="W277" i="3" s="1"/>
  <c r="V115" i="3"/>
  <c r="V277" i="3" s="1"/>
  <c r="U115" i="3"/>
  <c r="U277" i="3" s="1"/>
  <c r="T115" i="3"/>
  <c r="S115" i="3"/>
  <c r="S277" i="3" s="1"/>
  <c r="R115" i="3"/>
  <c r="R277" i="3" s="1"/>
  <c r="Q115" i="3"/>
  <c r="P115" i="3"/>
  <c r="P277" i="3" s="1"/>
  <c r="O115" i="3"/>
  <c r="O277" i="3" s="1"/>
  <c r="N115" i="3"/>
  <c r="N277" i="3" s="1"/>
  <c r="M115" i="3"/>
  <c r="K115" i="3"/>
  <c r="K277" i="3" s="1"/>
  <c r="J115" i="3"/>
  <c r="J277" i="3" s="1"/>
  <c r="I115" i="3"/>
  <c r="H115" i="3"/>
  <c r="H277" i="3" s="1"/>
  <c r="F115" i="3"/>
  <c r="F277" i="3" s="1"/>
  <c r="E115" i="3"/>
  <c r="E277" i="3" s="1"/>
  <c r="D115" i="3"/>
  <c r="C115" i="3"/>
  <c r="C277" i="3" s="1"/>
  <c r="B115" i="3"/>
  <c r="AB114" i="3"/>
  <c r="L114" i="3"/>
  <c r="AB113" i="3"/>
  <c r="L113" i="3"/>
  <c r="AB112" i="3"/>
  <c r="L112" i="3"/>
  <c r="AB111" i="3"/>
  <c r="L111" i="3"/>
  <c r="AB110" i="3"/>
  <c r="L110" i="3"/>
  <c r="AB109" i="3"/>
  <c r="L109" i="3"/>
  <c r="AB108" i="3"/>
  <c r="G115" i="3"/>
  <c r="G277" i="3" s="1"/>
  <c r="L88" i="3"/>
  <c r="AC88" i="3" s="1"/>
  <c r="AA78" i="3"/>
  <c r="Z78" i="3"/>
  <c r="Y78" i="3"/>
  <c r="X78" i="3"/>
  <c r="W78" i="3"/>
  <c r="V78" i="3"/>
  <c r="U78" i="3"/>
  <c r="T78" i="3"/>
  <c r="S78" i="3"/>
  <c r="R78" i="3"/>
  <c r="Q78" i="3"/>
  <c r="P78" i="3"/>
  <c r="O78" i="3"/>
  <c r="N78" i="3"/>
  <c r="M78" i="3"/>
  <c r="K78" i="3"/>
  <c r="J78" i="3"/>
  <c r="I78" i="3"/>
  <c r="H78" i="3"/>
  <c r="G78" i="3"/>
  <c r="F78" i="3"/>
  <c r="E78" i="3"/>
  <c r="D78" i="3"/>
  <c r="C78" i="3"/>
  <c r="B78" i="3"/>
  <c r="AB77" i="3"/>
  <c r="AC77" i="3" s="1"/>
  <c r="AA74" i="3"/>
  <c r="Z74" i="3"/>
  <c r="Y74" i="3"/>
  <c r="X74" i="3"/>
  <c r="W74" i="3"/>
  <c r="V74" i="3"/>
  <c r="U74" i="3"/>
  <c r="T74" i="3"/>
  <c r="S74" i="3"/>
  <c r="R74" i="3"/>
  <c r="Q74" i="3"/>
  <c r="P74" i="3"/>
  <c r="O74" i="3"/>
  <c r="N74" i="3"/>
  <c r="M74" i="3"/>
  <c r="K74" i="3"/>
  <c r="J74" i="3"/>
  <c r="I74" i="3"/>
  <c r="H74" i="3"/>
  <c r="G74" i="3"/>
  <c r="F74" i="3"/>
  <c r="E74" i="3"/>
  <c r="D74" i="3"/>
  <c r="C74" i="3"/>
  <c r="B74" i="3"/>
  <c r="AB73" i="3"/>
  <c r="L73" i="3"/>
  <c r="AB72" i="3"/>
  <c r="L72" i="3"/>
  <c r="AB71" i="3"/>
  <c r="L71" i="3"/>
  <c r="AB70" i="3"/>
  <c r="L70" i="3"/>
  <c r="AA67" i="3"/>
  <c r="Z67" i="3"/>
  <c r="Y67" i="3"/>
  <c r="X67" i="3"/>
  <c r="W67" i="3"/>
  <c r="U67" i="3"/>
  <c r="T67" i="3"/>
  <c r="S67" i="3"/>
  <c r="R67" i="3"/>
  <c r="Q67" i="3"/>
  <c r="O67" i="3"/>
  <c r="N67" i="3"/>
  <c r="M67" i="3"/>
  <c r="K67" i="3"/>
  <c r="J67" i="3"/>
  <c r="I67" i="3"/>
  <c r="H67" i="3"/>
  <c r="G67" i="3"/>
  <c r="F67" i="3"/>
  <c r="E67" i="3"/>
  <c r="D67" i="3"/>
  <c r="C67" i="3"/>
  <c r="B67" i="3"/>
  <c r="AB66" i="3"/>
  <c r="AB65" i="3"/>
  <c r="L65" i="3"/>
  <c r="V67" i="3"/>
  <c r="L64" i="3"/>
  <c r="AB63" i="3"/>
  <c r="L63" i="3"/>
  <c r="AA61" i="3"/>
  <c r="Z61" i="3"/>
  <c r="Y61" i="3"/>
  <c r="X61" i="3"/>
  <c r="W61" i="3"/>
  <c r="V61" i="3"/>
  <c r="U61" i="3"/>
  <c r="T61" i="3"/>
  <c r="S61" i="3"/>
  <c r="R61" i="3"/>
  <c r="Q61" i="3"/>
  <c r="P61" i="3"/>
  <c r="O61" i="3"/>
  <c r="N61" i="3"/>
  <c r="M61" i="3"/>
  <c r="K61" i="3"/>
  <c r="J61" i="3"/>
  <c r="I61" i="3"/>
  <c r="H61" i="3"/>
  <c r="G61" i="3"/>
  <c r="F61" i="3"/>
  <c r="E61" i="3"/>
  <c r="D61" i="3"/>
  <c r="C61" i="3"/>
  <c r="B61" i="3"/>
  <c r="AB60" i="3"/>
  <c r="L60" i="3"/>
  <c r="AB59" i="3"/>
  <c r="L59" i="3"/>
  <c r="AA52" i="3"/>
  <c r="AA260" i="3" s="1"/>
  <c r="Z52" i="3"/>
  <c r="Z260" i="3" s="1"/>
  <c r="Y52" i="3"/>
  <c r="Y260" i="3" s="1"/>
  <c r="X52" i="3"/>
  <c r="X260" i="3" s="1"/>
  <c r="W52" i="3"/>
  <c r="W260" i="3" s="1"/>
  <c r="V52" i="3"/>
  <c r="V260" i="3" s="1"/>
  <c r="U52" i="3"/>
  <c r="U260" i="3" s="1"/>
  <c r="T52" i="3"/>
  <c r="T260" i="3" s="1"/>
  <c r="S52" i="3"/>
  <c r="S260" i="3" s="1"/>
  <c r="K52" i="3"/>
  <c r="K260" i="3" s="1"/>
  <c r="J52" i="3"/>
  <c r="J260" i="3" s="1"/>
  <c r="I52" i="3"/>
  <c r="I260" i="3" s="1"/>
  <c r="H52" i="3"/>
  <c r="H260" i="3" s="1"/>
  <c r="G52" i="3"/>
  <c r="G260" i="3" s="1"/>
  <c r="F52" i="3"/>
  <c r="F260" i="3" s="1"/>
  <c r="E52" i="3"/>
  <c r="E260" i="3" s="1"/>
  <c r="D52" i="3"/>
  <c r="D260" i="3" s="1"/>
  <c r="C52" i="3"/>
  <c r="C260" i="3" s="1"/>
  <c r="B52" i="3"/>
  <c r="B260" i="3" s="1"/>
  <c r="Q52" i="3"/>
  <c r="Q260" i="3" s="1"/>
  <c r="P52" i="3"/>
  <c r="P260" i="3" s="1"/>
  <c r="O52" i="3"/>
  <c r="O260" i="3" s="1"/>
  <c r="N52" i="3"/>
  <c r="N260" i="3" s="1"/>
  <c r="M52" i="3"/>
  <c r="AA48" i="3"/>
  <c r="AA259" i="3" s="1"/>
  <c r="Z48" i="3"/>
  <c r="Z259" i="3" s="1"/>
  <c r="Y48" i="3"/>
  <c r="Y259" i="3" s="1"/>
  <c r="X48" i="3"/>
  <c r="X259" i="3" s="1"/>
  <c r="W48" i="3"/>
  <c r="W259" i="3" s="1"/>
  <c r="V48" i="3"/>
  <c r="V259" i="3" s="1"/>
  <c r="U48" i="3"/>
  <c r="U259" i="3" s="1"/>
  <c r="T48" i="3"/>
  <c r="T259" i="3" s="1"/>
  <c r="S48" i="3"/>
  <c r="S259" i="3" s="1"/>
  <c r="R48" i="3"/>
  <c r="R259" i="3" s="1"/>
  <c r="Q48" i="3"/>
  <c r="Q259" i="3" s="1"/>
  <c r="P48" i="3"/>
  <c r="P259" i="3" s="1"/>
  <c r="O48" i="3"/>
  <c r="O259" i="3" s="1"/>
  <c r="N48" i="3"/>
  <c r="N259" i="3" s="1"/>
  <c r="M48" i="3"/>
  <c r="M259" i="3" s="1"/>
  <c r="K48" i="3"/>
  <c r="K259" i="3" s="1"/>
  <c r="J48" i="3"/>
  <c r="J259" i="3" s="1"/>
  <c r="I48" i="3"/>
  <c r="I259" i="3" s="1"/>
  <c r="H48" i="3"/>
  <c r="H259" i="3" s="1"/>
  <c r="G48" i="3"/>
  <c r="G259" i="3" s="1"/>
  <c r="F48" i="3"/>
  <c r="F259" i="3" s="1"/>
  <c r="E48" i="3"/>
  <c r="E259" i="3" s="1"/>
  <c r="D48" i="3"/>
  <c r="D259" i="3" s="1"/>
  <c r="C48" i="3"/>
  <c r="C259" i="3" s="1"/>
  <c r="B48" i="3"/>
  <c r="B259" i="3" s="1"/>
  <c r="AB47" i="3"/>
  <c r="L47" i="3"/>
  <c r="AB46" i="3"/>
  <c r="L46" i="3"/>
  <c r="AB45" i="3"/>
  <c r="L45" i="3"/>
  <c r="AB44" i="3"/>
  <c r="L44" i="3"/>
  <c r="AA41" i="3"/>
  <c r="Z41" i="3"/>
  <c r="Y41" i="3"/>
  <c r="X41" i="3"/>
  <c r="W41" i="3"/>
  <c r="V41" i="3"/>
  <c r="U41" i="3"/>
  <c r="T41" i="3"/>
  <c r="R41" i="3"/>
  <c r="Q41" i="3"/>
  <c r="P41" i="3"/>
  <c r="O41" i="3"/>
  <c r="N41" i="3"/>
  <c r="M41" i="3"/>
  <c r="K41" i="3"/>
  <c r="J41" i="3"/>
  <c r="I41" i="3"/>
  <c r="H41" i="3"/>
  <c r="G41" i="3"/>
  <c r="F41" i="3"/>
  <c r="E41" i="3"/>
  <c r="D41" i="3"/>
  <c r="C41" i="3"/>
  <c r="B41" i="3"/>
  <c r="AB40" i="3"/>
  <c r="L40" i="3"/>
  <c r="AB39" i="3"/>
  <c r="L39" i="3"/>
  <c r="AB38" i="3"/>
  <c r="L38" i="3"/>
  <c r="AB37" i="3"/>
  <c r="L37" i="3"/>
  <c r="AA35" i="3"/>
  <c r="AA258" i="3" s="1"/>
  <c r="Z35" i="3"/>
  <c r="Z258" i="3" s="1"/>
  <c r="Y35" i="3"/>
  <c r="X35" i="3"/>
  <c r="X258" i="3" s="1"/>
  <c r="W35" i="3"/>
  <c r="W258" i="3" s="1"/>
  <c r="V35" i="3"/>
  <c r="U35" i="3"/>
  <c r="U258" i="3" s="1"/>
  <c r="T35" i="3"/>
  <c r="S35" i="3"/>
  <c r="R35" i="3"/>
  <c r="Q35" i="3"/>
  <c r="P35" i="3"/>
  <c r="O35" i="3"/>
  <c r="N35" i="3"/>
  <c r="M35" i="3"/>
  <c r="K35" i="3"/>
  <c r="J35" i="3"/>
  <c r="I35" i="3"/>
  <c r="H35" i="3"/>
  <c r="G35" i="3"/>
  <c r="F35" i="3"/>
  <c r="E35" i="3"/>
  <c r="D35" i="3"/>
  <c r="C35" i="3"/>
  <c r="B35" i="3"/>
  <c r="AB34" i="3"/>
  <c r="L34" i="3"/>
  <c r="AB33" i="3"/>
  <c r="L33" i="3"/>
  <c r="AA27" i="3"/>
  <c r="AA251" i="3" s="1"/>
  <c r="Z27" i="3"/>
  <c r="Z251" i="3" s="1"/>
  <c r="Y27" i="3"/>
  <c r="Y251" i="3" s="1"/>
  <c r="X27" i="3"/>
  <c r="X251" i="3" s="1"/>
  <c r="W27" i="3"/>
  <c r="W251" i="3" s="1"/>
  <c r="V27" i="3"/>
  <c r="V251" i="3" s="1"/>
  <c r="U27" i="3"/>
  <c r="U251" i="3" s="1"/>
  <c r="T27" i="3"/>
  <c r="T251" i="3" s="1"/>
  <c r="S27" i="3"/>
  <c r="S251" i="3" s="1"/>
  <c r="R27" i="3"/>
  <c r="R251" i="3" s="1"/>
  <c r="Q27" i="3"/>
  <c r="Q251" i="3" s="1"/>
  <c r="P27" i="3"/>
  <c r="P251" i="3" s="1"/>
  <c r="O27" i="3"/>
  <c r="O251" i="3" s="1"/>
  <c r="N27" i="3"/>
  <c r="N251" i="3" s="1"/>
  <c r="M27" i="3"/>
  <c r="M251" i="3" s="1"/>
  <c r="K27" i="3"/>
  <c r="K251" i="3" s="1"/>
  <c r="J27" i="3"/>
  <c r="J251" i="3" s="1"/>
  <c r="I27" i="3"/>
  <c r="I251" i="3" s="1"/>
  <c r="H27" i="3"/>
  <c r="H251" i="3" s="1"/>
  <c r="G27" i="3"/>
  <c r="G251" i="3" s="1"/>
  <c r="F27" i="3"/>
  <c r="F251" i="3" s="1"/>
  <c r="E27" i="3"/>
  <c r="E251" i="3" s="1"/>
  <c r="D27" i="3"/>
  <c r="D251" i="3" s="1"/>
  <c r="C27" i="3"/>
  <c r="C251" i="3" s="1"/>
  <c r="B27" i="3"/>
  <c r="B251" i="3" s="1"/>
  <c r="AB26" i="3"/>
  <c r="L26" i="3"/>
  <c r="AA23" i="3"/>
  <c r="AA249" i="3" s="1"/>
  <c r="Z23" i="3"/>
  <c r="Z249" i="3" s="1"/>
  <c r="Y23" i="3"/>
  <c r="Y249" i="3" s="1"/>
  <c r="X23" i="3"/>
  <c r="X249" i="3" s="1"/>
  <c r="W23" i="3"/>
  <c r="W249" i="3" s="1"/>
  <c r="V23" i="3"/>
  <c r="V249" i="3" s="1"/>
  <c r="U23" i="3"/>
  <c r="U249" i="3" s="1"/>
  <c r="T23" i="3"/>
  <c r="T249" i="3" s="1"/>
  <c r="S23" i="3"/>
  <c r="S249" i="3" s="1"/>
  <c r="R23" i="3"/>
  <c r="R249" i="3" s="1"/>
  <c r="Q23" i="3"/>
  <c r="Q249" i="3" s="1"/>
  <c r="P23" i="3"/>
  <c r="P249" i="3" s="1"/>
  <c r="O23" i="3"/>
  <c r="O249" i="3" s="1"/>
  <c r="N23" i="3"/>
  <c r="N249" i="3" s="1"/>
  <c r="M23" i="3"/>
  <c r="M249" i="3" s="1"/>
  <c r="K23" i="3"/>
  <c r="K249" i="3" s="1"/>
  <c r="J23" i="3"/>
  <c r="J249" i="3" s="1"/>
  <c r="I23" i="3"/>
  <c r="I249" i="3" s="1"/>
  <c r="H23" i="3"/>
  <c r="H249" i="3" s="1"/>
  <c r="G23" i="3"/>
  <c r="G249" i="3" s="1"/>
  <c r="F23" i="3"/>
  <c r="F249" i="3" s="1"/>
  <c r="E23" i="3"/>
  <c r="E249" i="3" s="1"/>
  <c r="D23" i="3"/>
  <c r="D249" i="3" s="1"/>
  <c r="C23" i="3"/>
  <c r="C249" i="3" s="1"/>
  <c r="B23" i="3"/>
  <c r="B249" i="3" s="1"/>
  <c r="AB22" i="3"/>
  <c r="L22" i="3"/>
  <c r="AB21" i="3"/>
  <c r="L21" i="3"/>
  <c r="AB20" i="3"/>
  <c r="L20" i="3"/>
  <c r="AB19" i="3"/>
  <c r="L19" i="3"/>
  <c r="AA16" i="3"/>
  <c r="AA247" i="3" s="1"/>
  <c r="Z16" i="3"/>
  <c r="Z247" i="3" s="1"/>
  <c r="Y16" i="3"/>
  <c r="Y247" i="3" s="1"/>
  <c r="X16" i="3"/>
  <c r="X247" i="3" s="1"/>
  <c r="W16" i="3"/>
  <c r="W247" i="3" s="1"/>
  <c r="V16" i="3"/>
  <c r="V247" i="3" s="1"/>
  <c r="U16" i="3"/>
  <c r="U247" i="3" s="1"/>
  <c r="T16" i="3"/>
  <c r="T247" i="3" s="1"/>
  <c r="S16" i="3"/>
  <c r="S247" i="3" s="1"/>
  <c r="R16" i="3"/>
  <c r="R247" i="3" s="1"/>
  <c r="Q16" i="3"/>
  <c r="Q247" i="3" s="1"/>
  <c r="P16" i="3"/>
  <c r="P247" i="3" s="1"/>
  <c r="O16" i="3"/>
  <c r="O247" i="3" s="1"/>
  <c r="N16" i="3"/>
  <c r="N247" i="3" s="1"/>
  <c r="M16" i="3"/>
  <c r="M247" i="3" s="1"/>
  <c r="K16" i="3"/>
  <c r="K247" i="3" s="1"/>
  <c r="J16" i="3"/>
  <c r="J247" i="3" s="1"/>
  <c r="I16" i="3"/>
  <c r="I247" i="3" s="1"/>
  <c r="H16" i="3"/>
  <c r="H247" i="3" s="1"/>
  <c r="G16" i="3"/>
  <c r="G247" i="3" s="1"/>
  <c r="F16" i="3"/>
  <c r="F247" i="3" s="1"/>
  <c r="E16" i="3"/>
  <c r="E247" i="3" s="1"/>
  <c r="D16" i="3"/>
  <c r="C16" i="3"/>
  <c r="C247" i="3" s="1"/>
  <c r="B16" i="3"/>
  <c r="B247" i="3" s="1"/>
  <c r="AB15" i="3"/>
  <c r="L15" i="3"/>
  <c r="AB14" i="3"/>
  <c r="L14" i="3"/>
  <c r="AB13" i="3"/>
  <c r="L13" i="3"/>
  <c r="AB12" i="3"/>
  <c r="L12" i="3"/>
  <c r="AA10" i="3"/>
  <c r="AA246" i="3" s="1"/>
  <c r="Z10" i="3"/>
  <c r="Z246" i="3" s="1"/>
  <c r="Y10" i="3"/>
  <c r="X10" i="3"/>
  <c r="W10" i="3"/>
  <c r="W246" i="3" s="1"/>
  <c r="V10" i="3"/>
  <c r="V246" i="3" s="1"/>
  <c r="U10" i="3"/>
  <c r="U246" i="3" s="1"/>
  <c r="T10" i="3"/>
  <c r="T246" i="3" s="1"/>
  <c r="S10" i="3"/>
  <c r="S246" i="3" s="1"/>
  <c r="R10" i="3"/>
  <c r="R246" i="3" s="1"/>
  <c r="Q10" i="3"/>
  <c r="P10" i="3"/>
  <c r="O10" i="3"/>
  <c r="O246" i="3" s="1"/>
  <c r="N10" i="3"/>
  <c r="N246" i="3" s="1"/>
  <c r="M10" i="3"/>
  <c r="M246" i="3" s="1"/>
  <c r="K10" i="3"/>
  <c r="K246" i="3" s="1"/>
  <c r="J10" i="3"/>
  <c r="J246" i="3" s="1"/>
  <c r="I10" i="3"/>
  <c r="I246" i="3" s="1"/>
  <c r="H10" i="3"/>
  <c r="H246" i="3" s="1"/>
  <c r="G10" i="3"/>
  <c r="G246" i="3" s="1"/>
  <c r="F10" i="3"/>
  <c r="F246" i="3" s="1"/>
  <c r="E10" i="3"/>
  <c r="E246" i="3" s="1"/>
  <c r="D10" i="3"/>
  <c r="D246" i="3" s="1"/>
  <c r="C10" i="3"/>
  <c r="C246" i="3" s="1"/>
  <c r="B10" i="3"/>
  <c r="AB9" i="3"/>
  <c r="L9" i="3"/>
  <c r="AB8" i="3"/>
  <c r="L8" i="3"/>
  <c r="L199" i="3" l="1"/>
  <c r="H148" i="3"/>
  <c r="H216" i="3" s="1"/>
  <c r="L128" i="3"/>
  <c r="L183" i="3"/>
  <c r="B194" i="3"/>
  <c r="B277" i="3"/>
  <c r="L115" i="3"/>
  <c r="J285" i="3"/>
  <c r="J147" i="3"/>
  <c r="J148" i="3" s="1"/>
  <c r="AC34" i="3"/>
  <c r="H258" i="3"/>
  <c r="H262" i="3" s="1"/>
  <c r="AC66" i="3"/>
  <c r="B246" i="3"/>
  <c r="B253" i="3" s="1"/>
  <c r="AC124" i="3"/>
  <c r="AC40" i="3"/>
  <c r="AC126" i="3"/>
  <c r="AC33" i="3"/>
  <c r="E258" i="3"/>
  <c r="E262" i="3" s="1"/>
  <c r="AC143" i="3"/>
  <c r="B258" i="3"/>
  <c r="B262" i="3" s="1"/>
  <c r="J258" i="3"/>
  <c r="J262" i="3" s="1"/>
  <c r="U80" i="3"/>
  <c r="U266" i="3" s="1"/>
  <c r="T258" i="3"/>
  <c r="T262" i="3" s="1"/>
  <c r="AC45" i="3"/>
  <c r="AC139" i="3"/>
  <c r="AC8" i="3"/>
  <c r="F253" i="3"/>
  <c r="O253" i="3"/>
  <c r="W253" i="3"/>
  <c r="AC20" i="3"/>
  <c r="D258" i="3"/>
  <c r="D262" i="3" s="1"/>
  <c r="AC59" i="3"/>
  <c r="AC70" i="3"/>
  <c r="AC114" i="3"/>
  <c r="AC122" i="3"/>
  <c r="AC9" i="3"/>
  <c r="O258" i="3"/>
  <c r="O262" i="3" s="1"/>
  <c r="L108" i="3"/>
  <c r="AC108" i="3" s="1"/>
  <c r="AC146" i="3"/>
  <c r="AC22" i="3"/>
  <c r="T80" i="3"/>
  <c r="T266" i="3" s="1"/>
  <c r="D80" i="3"/>
  <c r="D266" i="3" s="1"/>
  <c r="C258" i="3"/>
  <c r="C262" i="3" s="1"/>
  <c r="K258" i="3"/>
  <c r="K262" i="3" s="1"/>
  <c r="G258" i="3"/>
  <c r="G262" i="3" s="1"/>
  <c r="P258" i="3"/>
  <c r="P262" i="3" s="1"/>
  <c r="AC46" i="3"/>
  <c r="AC72" i="3"/>
  <c r="AC65" i="3"/>
  <c r="N131" i="3"/>
  <c r="N269" i="3" s="1"/>
  <c r="AC12" i="3"/>
  <c r="O131" i="3"/>
  <c r="O269" i="3" s="1"/>
  <c r="AC37" i="3"/>
  <c r="AC44" i="3"/>
  <c r="W131" i="3"/>
  <c r="W269" i="3" s="1"/>
  <c r="AC14" i="3"/>
  <c r="E80" i="3"/>
  <c r="E266" i="3" s="1"/>
  <c r="N80" i="3"/>
  <c r="N89" i="3" s="1"/>
  <c r="N166" i="3" s="1"/>
  <c r="AC21" i="3"/>
  <c r="F80" i="3"/>
  <c r="F89" i="3" s="1"/>
  <c r="O80" i="3"/>
  <c r="O266" i="3" s="1"/>
  <c r="AC13" i="3"/>
  <c r="L67" i="3"/>
  <c r="AC110" i="3"/>
  <c r="H253" i="3"/>
  <c r="Q29" i="3"/>
  <c r="Y29" i="3"/>
  <c r="F54" i="3"/>
  <c r="F264" i="3" s="1"/>
  <c r="AC71" i="3"/>
  <c r="AC26" i="3"/>
  <c r="X29" i="3"/>
  <c r="AC15" i="3"/>
  <c r="X262" i="3"/>
  <c r="G253" i="3"/>
  <c r="AC60" i="3"/>
  <c r="AC112" i="3"/>
  <c r="AB61" i="3"/>
  <c r="P29" i="3"/>
  <c r="I54" i="3"/>
  <c r="I264" i="3" s="1"/>
  <c r="R258" i="3"/>
  <c r="R262" i="3" s="1"/>
  <c r="AC47" i="3"/>
  <c r="AC38" i="3"/>
  <c r="Y54" i="3"/>
  <c r="Y264" i="3" s="1"/>
  <c r="W80" i="3"/>
  <c r="W89" i="3" s="1"/>
  <c r="W166" i="3" s="1"/>
  <c r="AB64" i="3"/>
  <c r="AC111" i="3"/>
  <c r="AC141" i="3"/>
  <c r="AC152" i="3"/>
  <c r="D29" i="3"/>
  <c r="AC39" i="3"/>
  <c r="G80" i="3"/>
  <c r="G89" i="3" s="1"/>
  <c r="AB156" i="3"/>
  <c r="AB271" i="3" s="1"/>
  <c r="J253" i="3"/>
  <c r="S253" i="3"/>
  <c r="AA253" i="3"/>
  <c r="M29" i="3"/>
  <c r="AA262" i="3"/>
  <c r="D54" i="3"/>
  <c r="D264" i="3" s="1"/>
  <c r="H80" i="3"/>
  <c r="H266" i="3" s="1"/>
  <c r="Q80" i="3"/>
  <c r="Q266" i="3" s="1"/>
  <c r="Y80" i="3"/>
  <c r="Y266" i="3" s="1"/>
  <c r="M131" i="3"/>
  <c r="M269" i="3" s="1"/>
  <c r="N148" i="3"/>
  <c r="N270" i="3" s="1"/>
  <c r="V80" i="3"/>
  <c r="V266" i="3" s="1"/>
  <c r="R253" i="3"/>
  <c r="C253" i="3"/>
  <c r="K253" i="3"/>
  <c r="T29" i="3"/>
  <c r="K54" i="3"/>
  <c r="K264" i="3" s="1"/>
  <c r="I80" i="3"/>
  <c r="I266" i="3" s="1"/>
  <c r="R80" i="3"/>
  <c r="R266" i="3" s="1"/>
  <c r="Z80" i="3"/>
  <c r="Z266" i="3" s="1"/>
  <c r="AB78" i="3"/>
  <c r="D131" i="3"/>
  <c r="AC119" i="3"/>
  <c r="L74" i="3"/>
  <c r="X80" i="3"/>
  <c r="X89" i="3" s="1"/>
  <c r="X166" i="3" s="1"/>
  <c r="AB74" i="3"/>
  <c r="U29" i="3"/>
  <c r="M258" i="3"/>
  <c r="U262" i="3"/>
  <c r="L41" i="3"/>
  <c r="T54" i="3"/>
  <c r="T264" i="3" s="1"/>
  <c r="B80" i="3"/>
  <c r="B266" i="3" s="1"/>
  <c r="J80" i="3"/>
  <c r="J266" i="3" s="1"/>
  <c r="S80" i="3"/>
  <c r="S266" i="3" s="1"/>
  <c r="AA80" i="3"/>
  <c r="AA89" i="3" s="1"/>
  <c r="AA166" i="3" s="1"/>
  <c r="M80" i="3"/>
  <c r="M266" i="3" s="1"/>
  <c r="E131" i="3"/>
  <c r="R131" i="3"/>
  <c r="R269" i="3" s="1"/>
  <c r="Z131" i="3"/>
  <c r="Z269" i="3" s="1"/>
  <c r="P246" i="3"/>
  <c r="P253" i="3" s="1"/>
  <c r="M271" i="3"/>
  <c r="Z253" i="3"/>
  <c r="E29" i="3"/>
  <c r="Z262" i="3"/>
  <c r="C54" i="3"/>
  <c r="C264" i="3" s="1"/>
  <c r="L78" i="3"/>
  <c r="T131" i="3"/>
  <c r="T159" i="3" s="1"/>
  <c r="N253" i="3"/>
  <c r="V253" i="3"/>
  <c r="L16" i="3"/>
  <c r="L247" i="3" s="1"/>
  <c r="AC19" i="3"/>
  <c r="E54" i="3"/>
  <c r="E264" i="3" s="1"/>
  <c r="N54" i="3"/>
  <c r="N264" i="3" s="1"/>
  <c r="V54" i="3"/>
  <c r="V264" i="3" s="1"/>
  <c r="AA54" i="3"/>
  <c r="AA264" i="3" s="1"/>
  <c r="C80" i="3"/>
  <c r="C266" i="3" s="1"/>
  <c r="K80" i="3"/>
  <c r="K266" i="3" s="1"/>
  <c r="AC63" i="3"/>
  <c r="AC73" i="3"/>
  <c r="AC113" i="3"/>
  <c r="AC121" i="3"/>
  <c r="B131" i="3"/>
  <c r="J131" i="3"/>
  <c r="J178" i="3" s="1"/>
  <c r="Q246" i="3"/>
  <c r="Q253" i="3" s="1"/>
  <c r="AB52" i="3"/>
  <c r="AB260" i="3" s="1"/>
  <c r="M260" i="3"/>
  <c r="Q54" i="3"/>
  <c r="Q264" i="3" s="1"/>
  <c r="I253" i="3"/>
  <c r="AC135" i="3"/>
  <c r="F29" i="3"/>
  <c r="N29" i="3"/>
  <c r="V29" i="3"/>
  <c r="L35" i="3"/>
  <c r="AB35" i="3"/>
  <c r="S41" i="3"/>
  <c r="S54" i="3" s="1"/>
  <c r="S264" i="3" s="1"/>
  <c r="AB51" i="3"/>
  <c r="AC51" i="3" s="1"/>
  <c r="M54" i="3"/>
  <c r="U54" i="3"/>
  <c r="U264" i="3" s="1"/>
  <c r="P67" i="3"/>
  <c r="P80" i="3" s="1"/>
  <c r="AC109" i="3"/>
  <c r="AB115" i="3"/>
  <c r="AC136" i="3"/>
  <c r="X246" i="3"/>
  <c r="X253" i="3" s="1"/>
  <c r="M277" i="3"/>
  <c r="G29" i="3"/>
  <c r="O29" i="3"/>
  <c r="W29" i="3"/>
  <c r="L48" i="3"/>
  <c r="AB48" i="3"/>
  <c r="AB259" i="3" s="1"/>
  <c r="L61" i="3"/>
  <c r="U131" i="3"/>
  <c r="H285" i="3"/>
  <c r="L144" i="3"/>
  <c r="Y246" i="3"/>
  <c r="Y253" i="3" s="1"/>
  <c r="T277" i="3"/>
  <c r="L27" i="3"/>
  <c r="AB27" i="3"/>
  <c r="AB251" i="3" s="1"/>
  <c r="H29" i="3"/>
  <c r="F258" i="3"/>
  <c r="F262" i="3" s="1"/>
  <c r="N258" i="3"/>
  <c r="N262" i="3" s="1"/>
  <c r="V258" i="3"/>
  <c r="V262" i="3" s="1"/>
  <c r="G54" i="3"/>
  <c r="G264" i="3" s="1"/>
  <c r="O54" i="3"/>
  <c r="O264" i="3" s="1"/>
  <c r="W54" i="3"/>
  <c r="W264" i="3" s="1"/>
  <c r="AC117" i="3"/>
  <c r="F131" i="3"/>
  <c r="F178" i="3" s="1"/>
  <c r="V131" i="3"/>
  <c r="I285" i="3"/>
  <c r="D247" i="3"/>
  <c r="D253" i="3" s="1"/>
  <c r="L10" i="3"/>
  <c r="T253" i="3"/>
  <c r="AB10" i="3"/>
  <c r="AB246" i="3" s="1"/>
  <c r="AB16" i="3"/>
  <c r="AB247" i="3" s="1"/>
  <c r="L23" i="3"/>
  <c r="AB23" i="3"/>
  <c r="AB249" i="3" s="1"/>
  <c r="I29" i="3"/>
  <c r="W262" i="3"/>
  <c r="H54" i="3"/>
  <c r="H264" i="3" s="1"/>
  <c r="P54" i="3"/>
  <c r="P264" i="3" s="1"/>
  <c r="X54" i="3"/>
  <c r="X264" i="3" s="1"/>
  <c r="AB128" i="3"/>
  <c r="G131" i="3"/>
  <c r="G178" i="3" s="1"/>
  <c r="E253" i="3"/>
  <c r="M253" i="3"/>
  <c r="U253" i="3"/>
  <c r="B29" i="3"/>
  <c r="J29" i="3"/>
  <c r="R29" i="3"/>
  <c r="Z29" i="3"/>
  <c r="L52" i="3"/>
  <c r="C29" i="3"/>
  <c r="K29" i="3"/>
  <c r="S29" i="3"/>
  <c r="AA29" i="3"/>
  <c r="I258" i="3"/>
  <c r="I262" i="3" s="1"/>
  <c r="Q258" i="3"/>
  <c r="Q262" i="3" s="1"/>
  <c r="Y258" i="3"/>
  <c r="Y262" i="3" s="1"/>
  <c r="B54" i="3"/>
  <c r="J54" i="3"/>
  <c r="J264" i="3" s="1"/>
  <c r="R54" i="3"/>
  <c r="R264" i="3" s="1"/>
  <c r="Z54" i="3"/>
  <c r="Z264" i="3" s="1"/>
  <c r="I277" i="3"/>
  <c r="I131" i="3"/>
  <c r="I178" i="3" s="1"/>
  <c r="Q277" i="3"/>
  <c r="Q131" i="3"/>
  <c r="Y277" i="3"/>
  <c r="Y131" i="3"/>
  <c r="B271" i="3"/>
  <c r="L156" i="3"/>
  <c r="D277" i="3"/>
  <c r="H131" i="3"/>
  <c r="H178" i="3" s="1"/>
  <c r="P131" i="3"/>
  <c r="X131" i="3"/>
  <c r="C131" i="3"/>
  <c r="C178" i="3" s="1"/>
  <c r="K131" i="3"/>
  <c r="K178" i="3" s="1"/>
  <c r="S131" i="3"/>
  <c r="AA131" i="3"/>
  <c r="AB144" i="3"/>
  <c r="B269" i="3" l="1"/>
  <c r="B273" i="3" s="1"/>
  <c r="L131" i="3"/>
  <c r="B178" i="3"/>
  <c r="B196" i="3" s="1"/>
  <c r="B203" i="3" s="1"/>
  <c r="D269" i="3"/>
  <c r="D273" i="3" s="1"/>
  <c r="D178" i="3"/>
  <c r="E269" i="3"/>
  <c r="E273" i="3" s="1"/>
  <c r="E178" i="3"/>
  <c r="L147" i="3"/>
  <c r="L148" i="3"/>
  <c r="L270" i="3" s="1"/>
  <c r="J216" i="3"/>
  <c r="L216" i="3" s="1"/>
  <c r="G266" i="3"/>
  <c r="U89" i="3"/>
  <c r="U166" i="3" s="1"/>
  <c r="H89" i="3"/>
  <c r="J270" i="3"/>
  <c r="I270" i="3"/>
  <c r="H270" i="3"/>
  <c r="O159" i="3"/>
  <c r="E89" i="3"/>
  <c r="N266" i="3"/>
  <c r="N273" i="3" s="1"/>
  <c r="V89" i="3"/>
  <c r="V166" i="3" s="1"/>
  <c r="W266" i="3"/>
  <c r="W273" i="3" s="1"/>
  <c r="O89" i="3"/>
  <c r="O166" i="3" s="1"/>
  <c r="O273" i="3"/>
  <c r="X266" i="3"/>
  <c r="S89" i="3"/>
  <c r="S166" i="3" s="1"/>
  <c r="T89" i="3"/>
  <c r="T166" i="3" s="1"/>
  <c r="K89" i="3"/>
  <c r="D89" i="3"/>
  <c r="I89" i="3"/>
  <c r="AA266" i="3"/>
  <c r="B159" i="3"/>
  <c r="AC78" i="3"/>
  <c r="N159" i="3"/>
  <c r="F266" i="3"/>
  <c r="M262" i="3"/>
  <c r="W159" i="3"/>
  <c r="AC128" i="3"/>
  <c r="R159" i="3"/>
  <c r="M159" i="3"/>
  <c r="AC74" i="3"/>
  <c r="D159" i="3"/>
  <c r="E159" i="3"/>
  <c r="J269" i="3"/>
  <c r="Z89" i="3"/>
  <c r="Z166" i="3" s="1"/>
  <c r="M89" i="3"/>
  <c r="M166" i="3" s="1"/>
  <c r="AC61" i="3"/>
  <c r="Y89" i="3"/>
  <c r="Y166" i="3" s="1"/>
  <c r="R273" i="3"/>
  <c r="M273" i="3"/>
  <c r="Z159" i="3"/>
  <c r="L80" i="3"/>
  <c r="L266" i="3" s="1"/>
  <c r="B89" i="3"/>
  <c r="B91" i="3" s="1"/>
  <c r="T269" i="3"/>
  <c r="T273" i="3" s="1"/>
  <c r="AB253" i="3"/>
  <c r="C89" i="3"/>
  <c r="C168" i="3" s="1"/>
  <c r="J89" i="3"/>
  <c r="J168" i="3" s="1"/>
  <c r="R89" i="3"/>
  <c r="R166" i="3" s="1"/>
  <c r="Q89" i="3"/>
  <c r="Q166" i="3" s="1"/>
  <c r="P266" i="3"/>
  <c r="P89" i="3"/>
  <c r="P166" i="3" s="1"/>
  <c r="AB80" i="3"/>
  <c r="AB266" i="3" s="1"/>
  <c r="V269" i="3"/>
  <c r="V273" i="3" s="1"/>
  <c r="V159" i="3"/>
  <c r="X269" i="3"/>
  <c r="X159" i="3"/>
  <c r="G269" i="3"/>
  <c r="G159" i="3"/>
  <c r="L246" i="3"/>
  <c r="AC10" i="3"/>
  <c r="AC246" i="3" s="1"/>
  <c r="AB131" i="3"/>
  <c r="AB277" i="3"/>
  <c r="H171" i="3"/>
  <c r="H168" i="3"/>
  <c r="F168" i="3"/>
  <c r="F171" i="3"/>
  <c r="AC156" i="3"/>
  <c r="AC271" i="3" s="1"/>
  <c r="L271" i="3"/>
  <c r="L259" i="3"/>
  <c r="AC48" i="3"/>
  <c r="AC259" i="3" s="1"/>
  <c r="K171" i="3"/>
  <c r="K168" i="3"/>
  <c r="P269" i="3"/>
  <c r="P159" i="3"/>
  <c r="Y269" i="3"/>
  <c r="Y273" i="3" s="1"/>
  <c r="Y159" i="3"/>
  <c r="AC35" i="3"/>
  <c r="L258" i="3"/>
  <c r="B168" i="3"/>
  <c r="AA269" i="3"/>
  <c r="AA159" i="3"/>
  <c r="H269" i="3"/>
  <c r="H159" i="3"/>
  <c r="B264" i="3"/>
  <c r="L54" i="3"/>
  <c r="L29" i="3"/>
  <c r="AC27" i="3"/>
  <c r="AC251" i="3" s="1"/>
  <c r="L251" i="3"/>
  <c r="AC144" i="3"/>
  <c r="L285" i="3"/>
  <c r="AC285" i="3" s="1"/>
  <c r="S269" i="3"/>
  <c r="S273" i="3" s="1"/>
  <c r="S159" i="3"/>
  <c r="Q269" i="3"/>
  <c r="Q273" i="3" s="1"/>
  <c r="Q159" i="3"/>
  <c r="D168" i="3"/>
  <c r="D171" i="3"/>
  <c r="AB29" i="3"/>
  <c r="J159" i="3"/>
  <c r="AC16" i="3"/>
  <c r="AC247" i="3" s="1"/>
  <c r="AB67" i="3"/>
  <c r="AC67" i="3" s="1"/>
  <c r="K269" i="3"/>
  <c r="K273" i="3" s="1"/>
  <c r="K159" i="3"/>
  <c r="L249" i="3"/>
  <c r="AC23" i="3"/>
  <c r="AC249" i="3" s="1"/>
  <c r="S258" i="3"/>
  <c r="S262" i="3" s="1"/>
  <c r="U159" i="3"/>
  <c r="U269" i="3"/>
  <c r="U273" i="3" s="1"/>
  <c r="Z273" i="3"/>
  <c r="AC52" i="3"/>
  <c r="AC260" i="3" s="1"/>
  <c r="L260" i="3"/>
  <c r="F269" i="3"/>
  <c r="F159" i="3"/>
  <c r="I171" i="3"/>
  <c r="I168" i="3"/>
  <c r="C269" i="3"/>
  <c r="C273" i="3" s="1"/>
  <c r="C159" i="3"/>
  <c r="I269" i="3"/>
  <c r="I159" i="3"/>
  <c r="E168" i="3"/>
  <c r="E171" i="3"/>
  <c r="AB54" i="3"/>
  <c r="AB264" i="3" s="1"/>
  <c r="M264" i="3"/>
  <c r="AB148" i="3"/>
  <c r="AB270" i="3" s="1"/>
  <c r="G171" i="3"/>
  <c r="G168" i="3"/>
  <c r="AB41" i="3"/>
  <c r="AC41" i="3" s="1"/>
  <c r="AB166" i="3" l="1"/>
  <c r="AC166" i="3" s="1"/>
  <c r="B171" i="3"/>
  <c r="L168" i="3"/>
  <c r="I273" i="3"/>
  <c r="J181" i="3"/>
  <c r="J194" i="3" s="1"/>
  <c r="J196" i="3" s="1"/>
  <c r="J203" i="3" s="1"/>
  <c r="H181" i="3"/>
  <c r="F181" i="3"/>
  <c r="G181" i="3"/>
  <c r="I181" i="3"/>
  <c r="E181" i="3"/>
  <c r="J273" i="3"/>
  <c r="G273" i="3"/>
  <c r="H273" i="3"/>
  <c r="AC115" i="3"/>
  <c r="AC131" i="3" s="1"/>
  <c r="X273" i="3"/>
  <c r="L277" i="3"/>
  <c r="AA273" i="3"/>
  <c r="C91" i="3"/>
  <c r="D91" i="3" s="1"/>
  <c r="E91" i="3" s="1"/>
  <c r="F91" i="3" s="1"/>
  <c r="G91" i="3" s="1"/>
  <c r="H91" i="3" s="1"/>
  <c r="I91" i="3" s="1"/>
  <c r="J91" i="3" s="1"/>
  <c r="K91" i="3" s="1"/>
  <c r="M91" i="3"/>
  <c r="N91" i="3" s="1"/>
  <c r="O91" i="3" s="1"/>
  <c r="P91" i="3" s="1"/>
  <c r="Q91" i="3" s="1"/>
  <c r="R91" i="3" s="1"/>
  <c r="S91" i="3" s="1"/>
  <c r="T91" i="3" s="1"/>
  <c r="U91" i="3" s="1"/>
  <c r="V91" i="3" s="1"/>
  <c r="W91" i="3" s="1"/>
  <c r="X91" i="3" s="1"/>
  <c r="Y91" i="3" s="1"/>
  <c r="Z91" i="3" s="1"/>
  <c r="AA91" i="3" s="1"/>
  <c r="AC80" i="3"/>
  <c r="AC266" i="3" s="1"/>
  <c r="F273" i="3"/>
  <c r="L89" i="3"/>
  <c r="AC29" i="3"/>
  <c r="C171" i="3"/>
  <c r="J171" i="3"/>
  <c r="AB89" i="3"/>
  <c r="L262" i="3"/>
  <c r="AB258" i="3"/>
  <c r="AB262" i="3" s="1"/>
  <c r="AC258" i="3"/>
  <c r="AC262" i="3" s="1"/>
  <c r="AB159" i="3"/>
  <c r="AB269" i="3"/>
  <c r="AB273" i="3" s="1"/>
  <c r="AC253" i="3"/>
  <c r="AC148" i="3"/>
  <c r="AC270" i="3" s="1"/>
  <c r="L264" i="3"/>
  <c r="AC54" i="3"/>
  <c r="AC264" i="3" s="1"/>
  <c r="L253" i="3"/>
  <c r="L159" i="3"/>
  <c r="L269" i="3"/>
  <c r="L273" i="3" s="1"/>
  <c r="L178" i="3"/>
  <c r="P273" i="3"/>
  <c r="C181" i="3" l="1"/>
  <c r="C194" i="3" s="1"/>
  <c r="C196" i="3" s="1"/>
  <c r="C203" i="3" s="1"/>
  <c r="C206" i="3" s="1"/>
  <c r="C209" i="3" s="1"/>
  <c r="L171" i="3"/>
  <c r="B172" i="3"/>
  <c r="C170" i="3" s="1"/>
  <c r="C172" i="3" s="1"/>
  <c r="D170" i="3" s="1"/>
  <c r="D172" i="3" s="1"/>
  <c r="E170" i="3" s="1"/>
  <c r="E172" i="3" s="1"/>
  <c r="F170" i="3" s="1"/>
  <c r="F172" i="3" s="1"/>
  <c r="G170" i="3" s="1"/>
  <c r="G172" i="3" s="1"/>
  <c r="H170" i="3" s="1"/>
  <c r="H172" i="3" s="1"/>
  <c r="I170" i="3" s="1"/>
  <c r="I172" i="3" s="1"/>
  <c r="J170" i="3" s="1"/>
  <c r="J172" i="3" s="1"/>
  <c r="K170" i="3" s="1"/>
  <c r="K172" i="3" s="1"/>
  <c r="G194" i="3"/>
  <c r="F194" i="3"/>
  <c r="I194" i="3"/>
  <c r="H194" i="3"/>
  <c r="E194" i="3"/>
  <c r="D181" i="3"/>
  <c r="J206" i="3"/>
  <c r="J209" i="3" s="1"/>
  <c r="K181" i="3"/>
  <c r="AC277" i="3"/>
  <c r="AC89" i="3"/>
  <c r="AC159" i="3"/>
  <c r="AC269" i="3"/>
  <c r="AC273" i="3" s="1"/>
  <c r="I196" i="3" l="1"/>
  <c r="I203" i="3" s="1"/>
  <c r="I206" i="3" s="1"/>
  <c r="E196" i="3"/>
  <c r="E203" i="3" s="1"/>
  <c r="E206" i="3" s="1"/>
  <c r="H196" i="3"/>
  <c r="H203" i="3" s="1"/>
  <c r="H206" i="3" s="1"/>
  <c r="F196" i="3"/>
  <c r="F203" i="3" s="1"/>
  <c r="F206" i="3" s="1"/>
  <c r="G196" i="3"/>
  <c r="G203" i="3" s="1"/>
  <c r="K194" i="3"/>
  <c r="D194" i="3"/>
  <c r="J219" i="3"/>
  <c r="J232" i="3" s="1"/>
  <c r="J234" i="3" s="1"/>
  <c r="C219" i="3"/>
  <c r="C232" i="3" s="1"/>
  <c r="C234" i="3" s="1"/>
  <c r="E219" i="3" l="1"/>
  <c r="E232" i="3" s="1"/>
  <c r="E234" i="3" s="1"/>
  <c r="E209" i="3"/>
  <c r="F219" i="3"/>
  <c r="F232" i="3" s="1"/>
  <c r="F234" i="3" s="1"/>
  <c r="F209" i="3"/>
  <c r="H219" i="3"/>
  <c r="H232" i="3" s="1"/>
  <c r="H234" i="3" s="1"/>
  <c r="H209" i="3"/>
  <c r="I219" i="3"/>
  <c r="I232" i="3" s="1"/>
  <c r="I234" i="3" s="1"/>
  <c r="I209" i="3"/>
  <c r="D196" i="3"/>
  <c r="D203" i="3" s="1"/>
  <c r="K196" i="3"/>
  <c r="K203" i="3" s="1"/>
  <c r="K206" i="3" s="1"/>
  <c r="G206" i="3"/>
  <c r="B206" i="3"/>
  <c r="L203" i="3" l="1"/>
  <c r="K219" i="3"/>
  <c r="K232" i="3" s="1"/>
  <c r="K234" i="3" s="1"/>
  <c r="K209" i="3"/>
  <c r="L196" i="3"/>
  <c r="B209" i="3"/>
  <c r="D206" i="3"/>
  <c r="G219" i="3"/>
  <c r="G232" i="3" s="1"/>
  <c r="G234" i="3" s="1"/>
  <c r="G209" i="3"/>
  <c r="B219" i="3"/>
  <c r="D219" i="3" l="1"/>
  <c r="D232" i="3" s="1"/>
  <c r="D234" i="3" s="1"/>
  <c r="D209" i="3"/>
  <c r="L206" i="3"/>
  <c r="L209" i="3"/>
  <c r="B210" i="3"/>
  <c r="C208" i="3" s="1"/>
  <c r="C210" i="3" s="1"/>
  <c r="D208" i="3" s="1"/>
  <c r="D210" i="3" s="1"/>
  <c r="E208" i="3" s="1"/>
  <c r="E210" i="3" s="1"/>
  <c r="F208" i="3" s="1"/>
  <c r="F210" i="3" s="1"/>
  <c r="G208" i="3" s="1"/>
  <c r="G210" i="3" s="1"/>
  <c r="H208" i="3" s="1"/>
  <c r="H210" i="3" s="1"/>
  <c r="I208" i="3" s="1"/>
  <c r="I210" i="3" s="1"/>
  <c r="J208" i="3" s="1"/>
  <c r="J210" i="3" s="1"/>
  <c r="K208" i="3" s="1"/>
  <c r="K210" i="3" s="1"/>
  <c r="B232" i="3"/>
  <c r="B234" i="3" s="1"/>
  <c r="L23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Elspeth Coutts</author>
  </authors>
  <commentList>
    <comment ref="A13" authorId="0" shapeId="0" xr:uid="{404CAED5-8F11-4492-A580-6603705562A0}">
      <text>
        <r>
          <rPr>
            <b/>
            <sz val="9"/>
            <color indexed="81"/>
            <rFont val="Tahoma"/>
            <family val="2"/>
          </rPr>
          <t>Elspeth Coutts:</t>
        </r>
        <r>
          <rPr>
            <sz val="9"/>
            <color indexed="81"/>
            <rFont val="Tahoma"/>
            <family val="2"/>
          </rPr>
          <t xml:space="preserve">
Row 99 updated by AR 171122</t>
        </r>
      </text>
    </comment>
    <comment ref="A110" authorId="0" shapeId="0" xr:uid="{D876A35F-303E-430A-B209-494F9744B30E}">
      <text>
        <r>
          <rPr>
            <b/>
            <sz val="9"/>
            <color indexed="81"/>
            <rFont val="Tahoma"/>
            <family val="2"/>
          </rPr>
          <t>Elspeth Coutts:</t>
        </r>
        <r>
          <rPr>
            <sz val="9"/>
            <color indexed="81"/>
            <rFont val="Tahoma"/>
            <family val="2"/>
          </rPr>
          <t xml:space="preserve">
Loggers' Shieling and Artists' Bothy - field staff within Comm Ben time allocation, plus Office Manager, Trustees, volunteers</t>
        </r>
      </text>
    </comment>
    <comment ref="A186" authorId="0" shapeId="0" xr:uid="{74E32DE5-BF4C-470F-99CD-C66609CC5B47}">
      <text>
        <r>
          <rPr>
            <b/>
            <sz val="9"/>
            <color indexed="81"/>
            <rFont val="Tahoma"/>
            <family val="2"/>
          </rPr>
          <t>Elspeth Coutts:</t>
        </r>
        <r>
          <rPr>
            <sz val="9"/>
            <color indexed="81"/>
            <rFont val="Tahoma"/>
            <family val="2"/>
          </rPr>
          <t xml:space="preserve">
WSWG anticipates regular small applications for diverse public funds over and above the larger sums included in this indicative Fundraising Plan</t>
        </r>
      </text>
    </comment>
    <comment ref="A191" authorId="0" shapeId="0" xr:uid="{97F26CE7-3B45-41B2-8EA4-A1259F086EBE}">
      <text>
        <r>
          <rPr>
            <b/>
            <sz val="9"/>
            <color indexed="81"/>
            <rFont val="Tahoma"/>
            <family val="2"/>
          </rPr>
          <t>Elspeth Coutts:</t>
        </r>
        <r>
          <rPr>
            <sz val="9"/>
            <color indexed="81"/>
            <rFont val="Tahoma"/>
            <family val="2"/>
          </rPr>
          <t xml:space="preserve">
If WSWG is successful in tapping into Wellbeing Economy Funders, the sums in this category will be higher than indicated here.</t>
        </r>
      </text>
    </comment>
    <comment ref="A234" authorId="0" shapeId="0" xr:uid="{F9D9CD51-64A7-4E78-B429-74E768642D8B}">
      <text>
        <r>
          <rPr>
            <b/>
            <sz val="9"/>
            <color indexed="81"/>
            <rFont val="Tahoma"/>
            <family val="2"/>
          </rPr>
          <t>Elspeth Coutts:</t>
        </r>
        <r>
          <rPr>
            <sz val="9"/>
            <color indexed="81"/>
            <rFont val="Tahoma"/>
            <family val="2"/>
          </rPr>
          <t xml:space="preserve">
This surplus could be allocated to Year-Round Activities Programmes scaled up to Budget Level 3.</t>
        </r>
      </text>
    </comment>
    <comment ref="A282" authorId="0" shapeId="0" xr:uid="{6C62BA49-AC05-46F9-BB63-1766C009E770}">
      <text>
        <r>
          <rPr>
            <b/>
            <sz val="9"/>
            <color indexed="81"/>
            <rFont val="Tahoma"/>
            <family val="2"/>
          </rPr>
          <t>Elspeth Coutts:</t>
        </r>
        <r>
          <rPr>
            <sz val="9"/>
            <color indexed="81"/>
            <rFont val="Tahoma"/>
            <family val="2"/>
          </rPr>
          <t xml:space="preserve">
included within Operational costs BL1 and BL2</t>
        </r>
      </text>
    </comment>
  </commentList>
</comments>
</file>

<file path=xl/sharedStrings.xml><?xml version="1.0" encoding="utf-8"?>
<sst xmlns="http://schemas.openxmlformats.org/spreadsheetml/2006/main" count="481" uniqueCount="172">
  <si>
    <t>Years 1</t>
  </si>
  <si>
    <t>Year 2</t>
  </si>
  <si>
    <t>Year 3</t>
  </si>
  <si>
    <t>Year 4</t>
  </si>
  <si>
    <t>Year 5</t>
  </si>
  <si>
    <t>Year 6</t>
  </si>
  <si>
    <t>Year 7</t>
  </si>
  <si>
    <t>Year 8</t>
  </si>
  <si>
    <t>Year 9</t>
  </si>
  <si>
    <t>Year 10</t>
  </si>
  <si>
    <t>10 year total</t>
  </si>
  <si>
    <t>Yr 11</t>
  </si>
  <si>
    <t>Yr 12</t>
  </si>
  <si>
    <t>Yr 13</t>
  </si>
  <si>
    <t>Yr 14</t>
  </si>
  <si>
    <t>Yr 15</t>
  </si>
  <si>
    <t>Yr 16</t>
  </si>
  <si>
    <t>Yr 17</t>
  </si>
  <si>
    <t>Yr 18</t>
  </si>
  <si>
    <t>Yr 19</t>
  </si>
  <si>
    <t>Yr 20</t>
  </si>
  <si>
    <t>Yr 21</t>
  </si>
  <si>
    <t>Yr 22</t>
  </si>
  <si>
    <t>Yr 23</t>
  </si>
  <si>
    <t>Yr 24</t>
  </si>
  <si>
    <t>Yr 25</t>
  </si>
  <si>
    <t>Years 11-25</t>
  </si>
  <si>
    <t>GRAND TOTALS YEARS 1-25</t>
  </si>
  <si>
    <t>WSWG CHARITABLE ACTIVITIES &amp; SERVICES</t>
  </si>
  <si>
    <t>Budget Level 1</t>
  </si>
  <si>
    <t>Allocated Staff costs</t>
  </si>
  <si>
    <t>Community Benefit TW</t>
  </si>
  <si>
    <t>Community Benefit FMW</t>
  </si>
  <si>
    <t>Community Green Enterprise TW</t>
  </si>
  <si>
    <t>Community Green Enterprise FMW</t>
  </si>
  <si>
    <t>Forestry, Ecology and Forestry Enterprise TW</t>
  </si>
  <si>
    <t>Forestry, Ecology and Forestry Enterprise FMW</t>
  </si>
  <si>
    <t>Operations (including Team share of field staff above)</t>
  </si>
  <si>
    <t>Year Round Activities Programmes TW &amp; FMW - operational at scale up to or beyond:</t>
  </si>
  <si>
    <t>Welcome, Access and Accessibility Infrastructure Improvements: TW &amp; FMW</t>
  </si>
  <si>
    <t>Flagship Project - Five Mile Wood Woodland Observatory Project</t>
  </si>
  <si>
    <t>Flagship Project - Taymount Hub Construction</t>
  </si>
  <si>
    <t>Habitat restoration: species and habitat improvements; surveying and equipment, reintroductions etc</t>
  </si>
  <si>
    <t>Operations net of staff costs</t>
  </si>
  <si>
    <t>Budget Level 2</t>
  </si>
  <si>
    <t xml:space="preserve">Allocated Staff costs        </t>
  </si>
  <si>
    <r>
      <t xml:space="preserve">                                                      </t>
    </r>
    <r>
      <rPr>
        <i/>
        <sz val="14"/>
        <rFont val="Calibri"/>
        <family val="2"/>
        <scheme val="minor"/>
      </rPr>
      <t xml:space="preserve">         Life-Long Learning Manager</t>
    </r>
  </si>
  <si>
    <t>Year Round Activities Programmes</t>
  </si>
  <si>
    <t xml:space="preserve">Welcome, Access and Accessibility Infrastructure Improvements </t>
  </si>
  <si>
    <t>Operations - net of staff costs - corrected omission of this row 161122</t>
  </si>
  <si>
    <t>Budget Level 3</t>
  </si>
  <si>
    <t>Flagship Project - Taymount Hub Construction &amp; Endowment</t>
  </si>
  <si>
    <t>WSWG ENTERPRISES &amp; TRADING ACTIVITIES</t>
  </si>
  <si>
    <t>Logger's Shieling</t>
  </si>
  <si>
    <t>Artists' Bothy</t>
  </si>
  <si>
    <t>Woodland enterprises - Living Forest TW</t>
  </si>
  <si>
    <t>Woodland enterprises Timber TW</t>
  </si>
  <si>
    <t>Woodland enterprises - Living Forest FMW</t>
  </si>
  <si>
    <t>Woodland enterprises - Timber FMW</t>
  </si>
  <si>
    <t>Camp 53 Café</t>
  </si>
  <si>
    <t>Camp 53 Shop</t>
  </si>
  <si>
    <t>Camp 53 Exhibition Space</t>
  </si>
  <si>
    <t>Camp 53 Meeting Room</t>
  </si>
  <si>
    <t>Sub total Community enterprises BL2</t>
  </si>
  <si>
    <t>Craft Hamlet</t>
  </si>
  <si>
    <t>INCOME</t>
  </si>
  <si>
    <t>Sub total Community enterprises BL1</t>
  </si>
  <si>
    <t>Sub total forest enterprises BL1</t>
  </si>
  <si>
    <t>Sub total community enterprises BL3</t>
  </si>
  <si>
    <t xml:space="preserve">Income running totals BL1 + BL2 + BL3 </t>
  </si>
  <si>
    <t>Sub total community ents BL1</t>
  </si>
  <si>
    <t>Sub total community enterprises BL2</t>
  </si>
  <si>
    <t>Variable costs running totals BL1 + BL2 + BL3</t>
  </si>
  <si>
    <t>Gross Margins:</t>
  </si>
  <si>
    <t xml:space="preserve">FORECAST EXPENDITURE FOR </t>
  </si>
  <si>
    <t>SUMMARY TABLE</t>
  </si>
  <si>
    <t xml:space="preserve">INCOME </t>
  </si>
  <si>
    <t>BUDGET LEVEL 1</t>
  </si>
  <si>
    <t>Community Enterprises</t>
  </si>
  <si>
    <t>BUDGET LEVEL 2</t>
  </si>
  <si>
    <t>Woodland Enterprises</t>
  </si>
  <si>
    <t>BUDGET LEVEL 3</t>
  </si>
  <si>
    <t>Sub-total Trading Income</t>
  </si>
  <si>
    <t>EXPENDITURE</t>
  </si>
  <si>
    <t xml:space="preserve">VARIABLE COSTS </t>
  </si>
  <si>
    <t>Sub-total VARIABLE COSTS</t>
  </si>
  <si>
    <t>CHECK TOTAL</t>
  </si>
  <si>
    <t>GROSS MARGINS</t>
  </si>
  <si>
    <t>OF WHICH:</t>
  </si>
  <si>
    <t>STAFF COSTS</t>
  </si>
  <si>
    <t>CAPITAL COSTS</t>
  </si>
  <si>
    <t>Gross margins annual totals for WSWG Enterprises and Trading Activities BL1 + BL2 + BL3</t>
  </si>
  <si>
    <t>Year 1</t>
  </si>
  <si>
    <t>ENTERPRISE AND TRADING VARIABLE COSTS</t>
  </si>
  <si>
    <t>Cumultative Net Annual Trading Surplus / Loss</t>
  </si>
  <si>
    <t xml:space="preserve">WSWG Enterprises and Trading Activities </t>
  </si>
  <si>
    <t>FIXED COSTS:</t>
  </si>
  <si>
    <t xml:space="preserve"> Hub and Enterprise Manager - staff costs budgeted in Operations with view to self-funding from Year 8 </t>
  </si>
  <si>
    <t>Hub Staff costs (ie counter and waiting staff)</t>
  </si>
  <si>
    <t xml:space="preserve">CONTINGENCY (%) </t>
  </si>
  <si>
    <t>Annual Expenditure Budget + contingency</t>
  </si>
  <si>
    <t>ANNUAL  SURPLUS FROM TRADING ACTIVITIES</t>
  </si>
  <si>
    <t>SURPLUS AVAILABLE FOR Charitable Activities=</t>
  </si>
  <si>
    <t>Opening Balance</t>
  </si>
  <si>
    <t>Closing Balance</t>
  </si>
  <si>
    <t>A] Funding from trading activities:</t>
  </si>
  <si>
    <t>Scottish Land Fund</t>
  </si>
  <si>
    <t>IIC Fund</t>
  </si>
  <si>
    <t>Total</t>
  </si>
  <si>
    <t>Crowd Funding</t>
  </si>
  <si>
    <t>Loans etc</t>
  </si>
  <si>
    <t>Charitable Funding</t>
  </si>
  <si>
    <t>Lottery</t>
  </si>
  <si>
    <t>Corporate</t>
  </si>
  <si>
    <t>ALLOCATED TO CAPITAL RESERVE</t>
  </si>
  <si>
    <t>Scottish Forestry Grants</t>
  </si>
  <si>
    <t>WSWG Enterprises Capital Investment</t>
  </si>
  <si>
    <t>Public:</t>
  </si>
  <si>
    <t>Benefactors</t>
  </si>
  <si>
    <t>Other Public Grants</t>
  </si>
  <si>
    <t xml:space="preserve">Other </t>
  </si>
  <si>
    <t>Surplus from BL1 activities</t>
  </si>
  <si>
    <t>Sub-total allocated Staff Costs BL1</t>
  </si>
  <si>
    <t>Sub-total allocated Staff Costs BL2</t>
  </si>
  <si>
    <t>SURPLUS FROM BL2 ENTERPRISES</t>
  </si>
  <si>
    <t>Fundraising Plan:</t>
  </si>
  <si>
    <t>Other</t>
  </si>
  <si>
    <r>
      <t xml:space="preserve">Scottish Forestry Grants </t>
    </r>
    <r>
      <rPr>
        <i/>
        <sz val="10"/>
        <color theme="1"/>
        <rFont val="Calibri"/>
        <family val="2"/>
        <scheme val="minor"/>
      </rPr>
      <t>(£2,870 included within WSWG Enterprises)</t>
    </r>
  </si>
  <si>
    <t xml:space="preserve">STAFF TIME ALLOCATION: COMMUNITY  ENTERPRISE PROGRAMME TW </t>
  </si>
  <si>
    <t>Net Annual Trading Surplus / Loss BL1+BL2+BL3</t>
  </si>
  <si>
    <t>Summary Note:</t>
  </si>
  <si>
    <t>Net surplus BL1 after capital</t>
  </si>
  <si>
    <t>Net surplus BL2 after capital and hub staff</t>
  </si>
  <si>
    <t>Combined Net Annual Trading Surplus/Loss</t>
  </si>
  <si>
    <t>Net surplus BL3 N/A</t>
  </si>
  <si>
    <t>NB: Some but not all of the Trading Surplus from the WSWG Enterprise and Trading activities will be used to support the WSWG Charitable Activities and Services as is outlined in the tables below which start with the costs for these activities and services defined according to Budget Level priority.</t>
  </si>
  <si>
    <t>Total Annual Expenditure WSWG Charitable Activities and Services Budget Levels 1 to 3</t>
  </si>
  <si>
    <t>PROPOSED ALLOCATION TO CAPITAL RESERVE</t>
  </si>
  <si>
    <t>WSWG CHARITABLE ACTIVITIES &amp; SERVICES (CAS)</t>
  </si>
  <si>
    <t>AMOUNT LEFT TO ALLOCATE TO BL1 CAS</t>
  </si>
  <si>
    <t>Sub-total Other CAS Costs BL1</t>
  </si>
  <si>
    <t>Sub-total Other CAS Costs BL2</t>
  </si>
  <si>
    <t>Sub-total CAS costs - Budget Level 1 -including Staff costs</t>
  </si>
  <si>
    <t>Operations (including Team Share of field staff above)</t>
  </si>
  <si>
    <t>Sub-total CAS costs - Budget Level 2 -including Staff costs</t>
  </si>
  <si>
    <t>Sub-total CAS costs - Budget Level 3 -including Staff costs</t>
  </si>
  <si>
    <t>Annual Expenditure Budget + contingency CAS</t>
  </si>
  <si>
    <r>
      <t xml:space="preserve">Support from </t>
    </r>
    <r>
      <rPr>
        <b/>
        <sz val="14"/>
        <rFont val="Calibri"/>
        <family val="2"/>
        <scheme val="minor"/>
      </rPr>
      <t>WSWG Enterprises</t>
    </r>
    <r>
      <rPr>
        <sz val="14"/>
        <rFont val="Calibri"/>
        <family val="2"/>
        <scheme val="minor"/>
      </rPr>
      <t xml:space="preserve"> trading activities</t>
    </r>
  </si>
  <si>
    <t>AMOUNT LEFT TO ALLOCATE TO CAS BL2</t>
  </si>
  <si>
    <t>FUNDING CAS BL2</t>
  </si>
  <si>
    <t>FUNDING CAS BL1</t>
  </si>
  <si>
    <t>CAS BUDGET LEVEL 1 P&amp;L</t>
  </si>
  <si>
    <t>CAS BUDGET LEVEL 2 P&amp;L</t>
  </si>
  <si>
    <t>SURPLUS FUNDING &gt;BL1 target fundraising met</t>
  </si>
  <si>
    <t>TOTAL  FUNDING REQUIRED FOR WSWG  CHARITABLE ACTIVITIES AND SERVICES BL1.</t>
  </si>
  <si>
    <t>TOTAL  FUNDING REQUIRED FOR WSWG  CHARITABLE ACTIVITIES AND SERVICES BL2</t>
  </si>
  <si>
    <t xml:space="preserve">Annual surplus from fundraising activity BL1 </t>
  </si>
  <si>
    <t>Annual surplus from fundraising activity BL2</t>
  </si>
  <si>
    <t>TOTAL CHARITABLE ACTIVITIES AND SERVICES COSTS</t>
  </si>
  <si>
    <r>
      <t xml:space="preserve">Flagship Project - Taymount Hub Construction &amp; Endow't </t>
    </r>
    <r>
      <rPr>
        <i/>
        <sz val="14"/>
        <rFont val="Calibri"/>
        <family val="2"/>
        <scheme val="minor"/>
      </rPr>
      <t>(utilities connections included in Operations)</t>
    </r>
  </si>
  <si>
    <t>Loggers's Shieling and Artists' Bothy</t>
  </si>
  <si>
    <t>BUDGET LEVEL 1:</t>
  </si>
  <si>
    <t>Taymount Hub Camp 53 Enterprises</t>
  </si>
  <si>
    <t>Temporary staff base (portacabins and office set-up)</t>
  </si>
  <si>
    <t>Taymount Hub building</t>
  </si>
  <si>
    <t>Craft hamlet</t>
  </si>
  <si>
    <t>NET ANNUAL TRADING SURPLUS / LOSS BL1+BL2+BL3 (before external fundraising)</t>
  </si>
  <si>
    <t xml:space="preserve">                                                               Life-Long Learning Manager</t>
  </si>
  <si>
    <t>Flagship Project - Taymount Hub Construction &amp; Endow't (utilities connections included in Operations)</t>
  </si>
  <si>
    <t>Support from WSWG Enterprises trading activities</t>
  </si>
  <si>
    <t>Scottish Forestry Grants (£2,870 included within WSWG Enterprises)</t>
  </si>
  <si>
    <t xml:space="preserve">WSWG BUSINESS PLAN APPENDIX BP9a:                                                        FINANCIAL PROJECTIONS to 10 and 25 YEARS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</si>
</sst>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6" formatCode="&quot;£&quot;#,##0;[Red]\-&quot;£&quot;#,##0"/>
    <numFmt numFmtId="42" formatCode="_-&quot;£&quot;* #,##0_-;\-&quot;£&quot;* #,##0_-;_-&quot;£&quot;* &quot;-&quot;_-;_-@_-"/>
    <numFmt numFmtId="164" formatCode="&quot;£&quot;#,##0"/>
    <numFmt numFmtId="165" formatCode="#,##0.0_ ;\-#,##0.0\ "/>
    <numFmt numFmtId="166" formatCode="&quot;£&quot;#,##0.0;\-&quot;£&quot;#,##0.0"/>
    <numFmt numFmtId="167" formatCode="&quot;£&quot;#,##0.0"/>
  </numFmts>
  <fonts count="32" x14ac:knownFonts="1">
    <font>
      <sz val="11"/>
      <color theme="1"/>
      <name val="Calibri"/>
      <family val="2"/>
      <scheme val="minor"/>
    </font>
    <font>
      <b/>
      <sz val="11"/>
      <color theme="1"/>
      <name val="Calibri"/>
      <family val="2"/>
      <scheme val="minor"/>
    </font>
    <font>
      <b/>
      <sz val="14"/>
      <color theme="1"/>
      <name val="Calibri"/>
      <family val="2"/>
      <scheme val="minor"/>
    </font>
    <font>
      <b/>
      <sz val="14"/>
      <name val="Calibri"/>
      <family val="2"/>
      <scheme val="minor"/>
    </font>
    <font>
      <b/>
      <sz val="14"/>
      <color rgb="FF00B050"/>
      <name val="Calibri"/>
      <family val="2"/>
      <scheme val="minor"/>
    </font>
    <font>
      <sz val="14"/>
      <color theme="1"/>
      <name val="Calibri"/>
      <family val="2"/>
      <scheme val="minor"/>
    </font>
    <font>
      <sz val="14"/>
      <color rgb="FF00B050"/>
      <name val="Calibri"/>
      <family val="2"/>
      <scheme val="minor"/>
    </font>
    <font>
      <sz val="14"/>
      <name val="Calibri"/>
      <family val="2"/>
      <scheme val="minor"/>
    </font>
    <font>
      <i/>
      <sz val="14"/>
      <name val="Calibri"/>
      <family val="2"/>
      <scheme val="minor"/>
    </font>
    <font>
      <b/>
      <i/>
      <sz val="14"/>
      <name val="Calibri"/>
      <family val="2"/>
      <scheme val="minor"/>
    </font>
    <font>
      <b/>
      <sz val="14"/>
      <color rgb="FF0070C0"/>
      <name val="Calibri"/>
      <family val="2"/>
      <scheme val="minor"/>
    </font>
    <font>
      <b/>
      <i/>
      <sz val="14"/>
      <color theme="1"/>
      <name val="Calibri"/>
      <family val="2"/>
      <scheme val="minor"/>
    </font>
    <font>
      <i/>
      <sz val="14"/>
      <color theme="1"/>
      <name val="Calibri"/>
      <family val="2"/>
      <scheme val="minor"/>
    </font>
    <font>
      <i/>
      <sz val="11"/>
      <color theme="1"/>
      <name val="Calibri"/>
      <family val="2"/>
      <scheme val="minor"/>
    </font>
    <font>
      <sz val="11"/>
      <color rgb="FF00B050"/>
      <name val="Calibri"/>
      <family val="2"/>
      <scheme val="minor"/>
    </font>
    <font>
      <b/>
      <sz val="9"/>
      <color indexed="81"/>
      <name val="Tahoma"/>
      <family val="2"/>
    </font>
    <font>
      <sz val="9"/>
      <color indexed="81"/>
      <name val="Tahoma"/>
      <family val="2"/>
    </font>
    <font>
      <sz val="11"/>
      <color theme="1"/>
      <name val="Calibri"/>
      <family val="2"/>
      <scheme val="minor"/>
    </font>
    <font>
      <b/>
      <sz val="11"/>
      <color rgb="FF00B050"/>
      <name val="Calibri"/>
      <family val="2"/>
      <scheme val="minor"/>
    </font>
    <font>
      <i/>
      <sz val="10"/>
      <color theme="1"/>
      <name val="Calibri"/>
      <family val="2"/>
      <scheme val="minor"/>
    </font>
    <font>
      <b/>
      <sz val="14"/>
      <color rgb="FFC00000"/>
      <name val="Calibri"/>
      <family val="2"/>
      <scheme val="minor"/>
    </font>
    <font>
      <sz val="14"/>
      <color rgb="FFC00000"/>
      <name val="Calibri"/>
      <family val="2"/>
      <scheme val="minor"/>
    </font>
    <font>
      <sz val="11"/>
      <color rgb="FFC00000"/>
      <name val="Calibri"/>
      <family val="2"/>
      <scheme val="minor"/>
    </font>
    <font>
      <b/>
      <sz val="11"/>
      <color rgb="FFC00000"/>
      <name val="Calibri"/>
      <family val="2"/>
      <scheme val="minor"/>
    </font>
    <font>
      <b/>
      <i/>
      <sz val="14"/>
      <color rgb="FFC00000"/>
      <name val="Calibri"/>
      <family val="2"/>
      <scheme val="minor"/>
    </font>
    <font>
      <sz val="11"/>
      <name val="Calibri"/>
      <family val="2"/>
      <scheme val="minor"/>
    </font>
    <font>
      <b/>
      <sz val="12"/>
      <color theme="1"/>
      <name val="Calibri"/>
      <family val="2"/>
      <scheme val="minor"/>
    </font>
    <font>
      <i/>
      <sz val="11"/>
      <color rgb="FFC00000"/>
      <name val="Calibri"/>
      <family val="2"/>
      <scheme val="minor"/>
    </font>
    <font>
      <b/>
      <i/>
      <sz val="11"/>
      <color theme="1"/>
      <name val="Calibri"/>
      <family val="2"/>
      <scheme val="minor"/>
    </font>
    <font>
      <b/>
      <i/>
      <sz val="11"/>
      <color rgb="FFC00000"/>
      <name val="Calibri"/>
      <family val="2"/>
      <scheme val="minor"/>
    </font>
    <font>
      <i/>
      <sz val="12"/>
      <color theme="1"/>
      <name val="Calibri"/>
      <family val="2"/>
      <scheme val="minor"/>
    </font>
    <font>
      <b/>
      <i/>
      <sz val="14"/>
      <color rgb="FF00B050"/>
      <name val="Calibri"/>
      <family val="2"/>
      <scheme val="minor"/>
    </font>
  </fonts>
  <fills count="12">
    <fill>
      <patternFill patternType="none"/>
    </fill>
    <fill>
      <patternFill patternType="gray125"/>
    </fill>
    <fill>
      <patternFill patternType="solid">
        <fgColor rgb="FFFF7C80"/>
        <bgColor indexed="64"/>
      </patternFill>
    </fill>
    <fill>
      <patternFill patternType="solid">
        <fgColor theme="9" tint="0.59999389629810485"/>
        <bgColor indexed="64"/>
      </patternFill>
    </fill>
    <fill>
      <patternFill patternType="solid">
        <fgColor theme="0"/>
        <bgColor indexed="64"/>
      </patternFill>
    </fill>
    <fill>
      <patternFill patternType="solid">
        <fgColor rgb="FFCC99FF"/>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99FF"/>
        <bgColor indexed="64"/>
      </patternFill>
    </fill>
    <fill>
      <patternFill patternType="solid">
        <fgColor rgb="FFFFC000"/>
        <bgColor indexed="64"/>
      </patternFill>
    </fill>
    <fill>
      <patternFill patternType="solid">
        <fgColor rgb="FFFF00FF"/>
        <bgColor indexed="64"/>
      </patternFill>
    </fill>
    <fill>
      <patternFill patternType="solid">
        <fgColor theme="4" tint="0.79998168889431442"/>
        <bgColor indexed="64"/>
      </patternFill>
    </fill>
  </fills>
  <borders count="27">
    <border>
      <left/>
      <right/>
      <top/>
      <bottom/>
      <diagonal/>
    </border>
    <border>
      <left/>
      <right style="thick">
        <color rgb="FFC00000"/>
      </right>
      <top/>
      <bottom/>
      <diagonal/>
    </border>
    <border>
      <left/>
      <right style="thick">
        <color rgb="FFC00000"/>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rgb="FFC00000"/>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ck">
        <color rgb="FFC00000"/>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n">
        <color indexed="64"/>
      </left>
      <right style="thick">
        <color rgb="FFC00000"/>
      </right>
      <top style="thin">
        <color indexed="64"/>
      </top>
      <bottom style="thin">
        <color indexed="64"/>
      </bottom>
      <diagonal/>
    </border>
    <border>
      <left/>
      <right style="thick">
        <color rgb="FFC00000"/>
      </right>
      <top style="thin">
        <color indexed="64"/>
      </top>
      <bottom/>
      <diagonal/>
    </border>
    <border>
      <left style="thin">
        <color indexed="64"/>
      </left>
      <right style="thick">
        <color rgb="FFC00000"/>
      </right>
      <top style="medium">
        <color theme="1"/>
      </top>
      <bottom/>
      <diagonal/>
    </border>
    <border>
      <left style="thin">
        <color indexed="64"/>
      </left>
      <right style="thick">
        <color rgb="FFC00000"/>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ck">
        <color rgb="FFC00000"/>
      </right>
      <top/>
      <bottom style="medium">
        <color indexed="64"/>
      </bottom>
      <diagonal/>
    </border>
  </borders>
  <cellStyleXfs count="2">
    <xf numFmtId="0" fontId="0" fillId="0" borderId="0"/>
    <xf numFmtId="9" fontId="17" fillId="0" borderId="0" applyFont="0" applyFill="0" applyBorder="0" applyAlignment="0" applyProtection="0"/>
  </cellStyleXfs>
  <cellXfs count="194">
    <xf numFmtId="0" fontId="0" fillId="0" borderId="0" xfId="0"/>
    <xf numFmtId="0" fontId="2" fillId="0" borderId="0" xfId="0" applyFont="1"/>
    <xf numFmtId="164" fontId="2" fillId="0" borderId="0" xfId="0" applyNumberFormat="1" applyFont="1" applyAlignment="1">
      <alignment horizontal="center"/>
    </xf>
    <xf numFmtId="164" fontId="4" fillId="0" borderId="0" xfId="0" applyNumberFormat="1" applyFont="1" applyAlignment="1">
      <alignment horizontal="center"/>
    </xf>
    <xf numFmtId="0" fontId="2" fillId="0" borderId="0" xfId="0" applyFont="1" applyAlignment="1">
      <alignment horizontal="center"/>
    </xf>
    <xf numFmtId="0" fontId="1" fillId="0" borderId="0" xfId="0" applyFont="1"/>
    <xf numFmtId="0" fontId="2" fillId="2" borderId="0" xfId="0" applyFont="1" applyFill="1"/>
    <xf numFmtId="164" fontId="2" fillId="2" borderId="0" xfId="0" applyNumberFormat="1" applyFont="1" applyFill="1" applyAlignment="1">
      <alignment horizontal="center"/>
    </xf>
    <xf numFmtId="0" fontId="2" fillId="3" borderId="0" xfId="0" applyFont="1" applyFill="1"/>
    <xf numFmtId="164" fontId="5" fillId="0" borderId="0" xfId="0" applyNumberFormat="1" applyFont="1" applyAlignment="1">
      <alignment horizontal="center"/>
    </xf>
    <xf numFmtId="0" fontId="5" fillId="0" borderId="0" xfId="0" applyFont="1"/>
    <xf numFmtId="0" fontId="5" fillId="0" borderId="0" xfId="0" applyFont="1" applyAlignment="1">
      <alignment horizontal="center"/>
    </xf>
    <xf numFmtId="164" fontId="6" fillId="0" borderId="0" xfId="0" applyNumberFormat="1" applyFont="1" applyAlignment="1">
      <alignment horizontal="center"/>
    </xf>
    <xf numFmtId="0" fontId="7" fillId="0" borderId="0" xfId="0" applyFont="1"/>
    <xf numFmtId="0" fontId="8" fillId="0" borderId="0" xfId="0" applyFont="1" applyAlignment="1">
      <alignment horizontal="right"/>
    </xf>
    <xf numFmtId="0" fontId="9" fillId="0" borderId="0" xfId="0" applyFont="1" applyAlignment="1">
      <alignment horizontal="right"/>
    </xf>
    <xf numFmtId="164" fontId="0" fillId="0" borderId="0" xfId="0" applyNumberFormat="1"/>
    <xf numFmtId="0" fontId="7" fillId="0" borderId="0" xfId="0" applyFont="1" applyAlignment="1">
      <alignment wrapText="1"/>
    </xf>
    <xf numFmtId="0" fontId="8" fillId="0" borderId="0" xfId="0" applyFont="1"/>
    <xf numFmtId="0" fontId="8" fillId="0" borderId="0" xfId="0" applyFont="1" applyAlignment="1">
      <alignment wrapText="1"/>
    </xf>
    <xf numFmtId="0" fontId="10" fillId="0" borderId="0" xfId="0" applyFont="1" applyAlignment="1">
      <alignment horizontal="right"/>
    </xf>
    <xf numFmtId="164" fontId="10" fillId="0" borderId="0" xfId="0" applyNumberFormat="1" applyFont="1" applyAlignment="1">
      <alignment horizontal="center"/>
    </xf>
    <xf numFmtId="0" fontId="7" fillId="0" borderId="0" xfId="0" applyFont="1" applyAlignment="1">
      <alignment horizontal="right"/>
    </xf>
    <xf numFmtId="164" fontId="7" fillId="0" borderId="0" xfId="0" applyNumberFormat="1" applyFont="1" applyAlignment="1">
      <alignment horizontal="left"/>
    </xf>
    <xf numFmtId="164" fontId="0" fillId="0" borderId="0" xfId="0" applyNumberFormat="1" applyAlignment="1">
      <alignment horizontal="center"/>
    </xf>
    <xf numFmtId="5" fontId="5" fillId="0" borderId="0" xfId="0" applyNumberFormat="1" applyFont="1" applyAlignment="1">
      <alignment horizontal="center"/>
    </xf>
    <xf numFmtId="0" fontId="7" fillId="4" borderId="0" xfId="0" applyFont="1" applyFill="1" applyAlignment="1">
      <alignment wrapText="1"/>
    </xf>
    <xf numFmtId="164" fontId="7" fillId="4" borderId="0" xfId="0" applyNumberFormat="1" applyFont="1" applyFill="1" applyAlignment="1">
      <alignment horizontal="center"/>
    </xf>
    <xf numFmtId="42" fontId="7" fillId="4" borderId="0" xfId="0" applyNumberFormat="1" applyFont="1" applyFill="1" applyAlignment="1">
      <alignment horizontal="center"/>
    </xf>
    <xf numFmtId="164" fontId="4" fillId="4" borderId="0" xfId="0" applyNumberFormat="1" applyFont="1" applyFill="1" applyAlignment="1">
      <alignment horizontal="center"/>
    </xf>
    <xf numFmtId="164" fontId="5" fillId="4" borderId="0" xfId="0" applyNumberFormat="1" applyFont="1" applyFill="1" applyAlignment="1">
      <alignment horizontal="center"/>
    </xf>
    <xf numFmtId="0" fontId="0" fillId="4" borderId="0" xfId="0" applyFill="1"/>
    <xf numFmtId="42" fontId="5" fillId="0" borderId="0" xfId="0" applyNumberFormat="1" applyFont="1" applyAlignment="1">
      <alignment horizontal="center"/>
    </xf>
    <xf numFmtId="0" fontId="3" fillId="0" borderId="0" xfId="0" applyFont="1"/>
    <xf numFmtId="164" fontId="3" fillId="0" borderId="0" xfId="0" applyNumberFormat="1" applyFont="1" applyAlignment="1">
      <alignment horizontal="center"/>
    </xf>
    <xf numFmtId="0" fontId="3" fillId="5" borderId="0" xfId="0" applyFont="1" applyFill="1"/>
    <xf numFmtId="164" fontId="5" fillId="5" borderId="0" xfId="0" applyNumberFormat="1" applyFont="1" applyFill="1" applyAlignment="1">
      <alignment horizontal="center"/>
    </xf>
    <xf numFmtId="164" fontId="7" fillId="0" borderId="0" xfId="0" applyNumberFormat="1" applyFont="1" applyAlignment="1">
      <alignment horizontal="center"/>
    </xf>
    <xf numFmtId="164" fontId="11" fillId="0" borderId="0" xfId="0" applyNumberFormat="1" applyFont="1" applyAlignment="1">
      <alignment horizontal="center"/>
    </xf>
    <xf numFmtId="42" fontId="11" fillId="0" borderId="0" xfId="0" applyNumberFormat="1" applyFont="1" applyAlignment="1">
      <alignment horizontal="center"/>
    </xf>
    <xf numFmtId="0" fontId="8" fillId="0" borderId="0" xfId="0" applyFont="1" applyAlignment="1">
      <alignment horizontal="center"/>
    </xf>
    <xf numFmtId="164" fontId="12" fillId="0" borderId="0" xfId="0" applyNumberFormat="1" applyFont="1" applyAlignment="1">
      <alignment horizontal="center"/>
    </xf>
    <xf numFmtId="42" fontId="12" fillId="0" borderId="0" xfId="0" applyNumberFormat="1" applyFont="1" applyAlignment="1">
      <alignment horizontal="center"/>
    </xf>
    <xf numFmtId="0" fontId="3" fillId="0" borderId="0" xfId="0" applyFont="1" applyAlignment="1">
      <alignment horizontal="left"/>
    </xf>
    <xf numFmtId="0" fontId="12" fillId="0" borderId="0" xfId="0" applyFont="1" applyAlignment="1">
      <alignment horizontal="right"/>
    </xf>
    <xf numFmtId="0" fontId="11" fillId="0" borderId="0" xfId="0" applyFont="1" applyAlignment="1">
      <alignment horizontal="right"/>
    </xf>
    <xf numFmtId="0" fontId="2" fillId="0" borderId="0" xfId="0" applyFont="1" applyAlignment="1">
      <alignment horizontal="left"/>
    </xf>
    <xf numFmtId="0" fontId="12" fillId="0" borderId="0" xfId="0" applyFont="1" applyAlignment="1">
      <alignment horizontal="center"/>
    </xf>
    <xf numFmtId="164" fontId="5" fillId="3" borderId="0" xfId="0" applyNumberFormat="1" applyFont="1" applyFill="1" applyAlignment="1">
      <alignment horizontal="center"/>
    </xf>
    <xf numFmtId="164" fontId="12" fillId="4" borderId="0" xfId="0" applyNumberFormat="1" applyFont="1" applyFill="1" applyAlignment="1">
      <alignment horizontal="center"/>
    </xf>
    <xf numFmtId="42" fontId="12" fillId="4" borderId="0" xfId="0" applyNumberFormat="1" applyFont="1" applyFill="1" applyAlignment="1">
      <alignment horizontal="center"/>
    </xf>
    <xf numFmtId="164" fontId="6" fillId="4" borderId="0" xfId="0" applyNumberFormat="1" applyFont="1" applyFill="1" applyAlignment="1">
      <alignment horizontal="center"/>
    </xf>
    <xf numFmtId="42" fontId="2" fillId="3" borderId="0" xfId="0" applyNumberFormat="1" applyFont="1" applyFill="1" applyAlignment="1">
      <alignment horizontal="center"/>
    </xf>
    <xf numFmtId="0" fontId="2" fillId="7" borderId="0" xfId="0" applyFont="1" applyFill="1"/>
    <xf numFmtId="42" fontId="2" fillId="0" borderId="0" xfId="0" applyNumberFormat="1" applyFont="1" applyAlignment="1">
      <alignment horizontal="center"/>
    </xf>
    <xf numFmtId="164" fontId="2" fillId="0" borderId="0" xfId="0" applyNumberFormat="1" applyFont="1" applyAlignment="1">
      <alignment horizontal="left"/>
    </xf>
    <xf numFmtId="0" fontId="1" fillId="0" borderId="0" xfId="0" applyFont="1" applyAlignment="1">
      <alignment horizontal="left"/>
    </xf>
    <xf numFmtId="0" fontId="2" fillId="8" borderId="0" xfId="0" applyFont="1" applyFill="1" applyAlignment="1">
      <alignment horizontal="left"/>
    </xf>
    <xf numFmtId="164" fontId="5" fillId="8" borderId="0" xfId="0" applyNumberFormat="1" applyFont="1" applyFill="1" applyAlignment="1">
      <alignment horizontal="center"/>
    </xf>
    <xf numFmtId="0" fontId="0" fillId="0" borderId="0" xfId="0" applyAlignment="1">
      <alignment horizontal="center"/>
    </xf>
    <xf numFmtId="0" fontId="0" fillId="6" borderId="0" xfId="0" applyFill="1"/>
    <xf numFmtId="0" fontId="2" fillId="9" borderId="0" xfId="0" applyFont="1" applyFill="1"/>
    <xf numFmtId="164" fontId="2" fillId="9" borderId="0" xfId="0" applyNumberFormat="1" applyFont="1" applyFill="1" applyAlignment="1">
      <alignment horizontal="center"/>
    </xf>
    <xf numFmtId="164" fontId="4" fillId="9" borderId="0" xfId="0" applyNumberFormat="1" applyFont="1" applyFill="1" applyAlignment="1">
      <alignment horizontal="center"/>
    </xf>
    <xf numFmtId="0" fontId="2" fillId="9" borderId="0" xfId="0" applyFont="1" applyFill="1" applyAlignment="1">
      <alignment horizontal="center"/>
    </xf>
    <xf numFmtId="164" fontId="5" fillId="0" borderId="0" xfId="0" applyNumberFormat="1" applyFont="1"/>
    <xf numFmtId="164" fontId="2" fillId="0" borderId="0" xfId="0" applyNumberFormat="1" applyFont="1"/>
    <xf numFmtId="0" fontId="2" fillId="0" borderId="0" xfId="0" applyFont="1" applyAlignment="1">
      <alignment wrapText="1"/>
    </xf>
    <xf numFmtId="6" fontId="2" fillId="0" borderId="0" xfId="0" applyNumberFormat="1" applyFont="1" applyAlignment="1">
      <alignment horizontal="center"/>
    </xf>
    <xf numFmtId="0" fontId="2" fillId="0" borderId="0" xfId="0" applyFont="1" applyAlignment="1">
      <alignment horizontal="right"/>
    </xf>
    <xf numFmtId="0" fontId="0" fillId="0" borderId="0" xfId="0" applyAlignment="1">
      <alignment horizontal="right"/>
    </xf>
    <xf numFmtId="6" fontId="2" fillId="0" borderId="0" xfId="0" applyNumberFormat="1" applyFont="1"/>
    <xf numFmtId="0" fontId="5" fillId="0" borderId="0" xfId="0" applyFont="1" applyAlignment="1">
      <alignment horizontal="right"/>
    </xf>
    <xf numFmtId="0" fontId="2" fillId="0" borderId="0" xfId="0" applyFont="1" applyAlignment="1">
      <alignment horizontal="center" wrapText="1"/>
    </xf>
    <xf numFmtId="164" fontId="11" fillId="0" borderId="3" xfId="0" applyNumberFormat="1" applyFont="1" applyBorder="1" applyAlignment="1">
      <alignment horizontal="center"/>
    </xf>
    <xf numFmtId="0" fontId="11" fillId="3" borderId="3" xfId="0" applyFont="1" applyFill="1" applyBorder="1" applyAlignment="1">
      <alignment horizontal="right"/>
    </xf>
    <xf numFmtId="164" fontId="11" fillId="3" borderId="3" xfId="0" applyNumberFormat="1" applyFont="1" applyFill="1" applyBorder="1" applyAlignment="1">
      <alignment horizontal="center"/>
    </xf>
    <xf numFmtId="0" fontId="9" fillId="0" borderId="3" xfId="0" applyFont="1" applyBorder="1" applyAlignment="1">
      <alignment horizontal="right"/>
    </xf>
    <xf numFmtId="42" fontId="11" fillId="0" borderId="3" xfId="0" applyNumberFormat="1" applyFont="1" applyBorder="1" applyAlignment="1">
      <alignment horizontal="center"/>
    </xf>
    <xf numFmtId="164" fontId="4" fillId="0" borderId="3" xfId="0" applyNumberFormat="1" applyFont="1" applyBorder="1" applyAlignment="1">
      <alignment horizontal="center"/>
    </xf>
    <xf numFmtId="164" fontId="3" fillId="0" borderId="3" xfId="0" applyNumberFormat="1" applyFont="1" applyBorder="1" applyAlignment="1">
      <alignment horizontal="center"/>
    </xf>
    <xf numFmtId="0" fontId="11" fillId="0" borderId="3" xfId="0" applyFont="1" applyBorder="1" applyAlignment="1">
      <alignment horizontal="right"/>
    </xf>
    <xf numFmtId="164" fontId="2" fillId="0" borderId="3" xfId="0" applyNumberFormat="1" applyFont="1" applyBorder="1" applyAlignment="1">
      <alignment horizontal="center"/>
    </xf>
    <xf numFmtId="42" fontId="2" fillId="0" borderId="3" xfId="0" applyNumberFormat="1" applyFont="1" applyBorder="1" applyAlignment="1">
      <alignment horizontal="center"/>
    </xf>
    <xf numFmtId="164" fontId="0" fillId="4" borderId="0" xfId="0" applyNumberFormat="1" applyFill="1"/>
    <xf numFmtId="0" fontId="2" fillId="4" borderId="0" xfId="0" applyFont="1" applyFill="1"/>
    <xf numFmtId="0" fontId="5" fillId="0" borderId="0" xfId="0" applyFont="1" applyAlignment="1">
      <alignment wrapText="1"/>
    </xf>
    <xf numFmtId="6" fontId="5" fillId="0" borderId="0" xfId="0" applyNumberFormat="1" applyFont="1" applyAlignment="1">
      <alignment horizontal="center"/>
    </xf>
    <xf numFmtId="6" fontId="6" fillId="0" borderId="0" xfId="0" applyNumberFormat="1" applyFont="1" applyAlignment="1">
      <alignment horizontal="center"/>
    </xf>
    <xf numFmtId="0" fontId="2" fillId="0" borderId="4" xfId="0" applyFont="1" applyBorder="1"/>
    <xf numFmtId="6" fontId="2" fillId="0" borderId="5" xfId="0" applyNumberFormat="1" applyFont="1" applyBorder="1" applyAlignment="1">
      <alignment horizontal="center"/>
    </xf>
    <xf numFmtId="42" fontId="2" fillId="0" borderId="5" xfId="0" applyNumberFormat="1" applyFont="1" applyBorder="1"/>
    <xf numFmtId="0" fontId="2" fillId="0" borderId="4" xfId="0" applyFont="1" applyBorder="1" applyAlignment="1">
      <alignment wrapText="1"/>
    </xf>
    <xf numFmtId="164" fontId="2" fillId="0" borderId="5" xfId="0" applyNumberFormat="1" applyFont="1" applyBorder="1" applyAlignment="1">
      <alignment horizontal="center"/>
    </xf>
    <xf numFmtId="164" fontId="2" fillId="0" borderId="6" xfId="0" applyNumberFormat="1" applyFont="1" applyBorder="1" applyAlignment="1">
      <alignment horizontal="center"/>
    </xf>
    <xf numFmtId="9" fontId="2" fillId="0" borderId="0" xfId="1" applyFont="1" applyAlignment="1">
      <alignment horizontal="center"/>
    </xf>
    <xf numFmtId="0" fontId="5" fillId="11" borderId="0" xfId="0" applyFont="1" applyFill="1"/>
    <xf numFmtId="6" fontId="5" fillId="11" borderId="0" xfId="0" applyNumberFormat="1" applyFont="1" applyFill="1" applyAlignment="1">
      <alignment horizontal="center"/>
    </xf>
    <xf numFmtId="5" fontId="0" fillId="0" borderId="0" xfId="0" applyNumberFormat="1" applyAlignment="1">
      <alignment horizontal="center"/>
    </xf>
    <xf numFmtId="5" fontId="12" fillId="0" borderId="0" xfId="0" applyNumberFormat="1" applyFont="1" applyAlignment="1">
      <alignment horizontal="right"/>
    </xf>
    <xf numFmtId="0" fontId="5" fillId="6" borderId="0" xfId="0" applyFont="1" applyFill="1"/>
    <xf numFmtId="0" fontId="5" fillId="10" borderId="0" xfId="0" applyFont="1" applyFill="1"/>
    <xf numFmtId="164" fontId="5" fillId="10" borderId="0" xfId="0" applyNumberFormat="1" applyFont="1" applyFill="1" applyAlignment="1">
      <alignment horizontal="center"/>
    </xf>
    <xf numFmtId="0" fontId="0" fillId="10" borderId="0" xfId="0" applyFill="1"/>
    <xf numFmtId="164" fontId="2" fillId="10" borderId="0" xfId="0" applyNumberFormat="1" applyFont="1" applyFill="1" applyAlignment="1">
      <alignment horizontal="center"/>
    </xf>
    <xf numFmtId="164" fontId="1" fillId="0" borderId="0" xfId="0" applyNumberFormat="1" applyFont="1" applyAlignment="1">
      <alignment horizontal="center"/>
    </xf>
    <xf numFmtId="0" fontId="11" fillId="0" borderId="0" xfId="0" applyFont="1" applyAlignment="1">
      <alignment wrapText="1"/>
    </xf>
    <xf numFmtId="164" fontId="9" fillId="4" borderId="0" xfId="0" applyNumberFormat="1" applyFont="1" applyFill="1" applyAlignment="1">
      <alignment horizontal="center"/>
    </xf>
    <xf numFmtId="164" fontId="1" fillId="6" borderId="1" xfId="0" applyNumberFormat="1" applyFont="1" applyFill="1" applyBorder="1" applyAlignment="1">
      <alignment horizontal="center"/>
    </xf>
    <xf numFmtId="165" fontId="0" fillId="0" borderId="0" xfId="0" applyNumberFormat="1" applyAlignment="1">
      <alignment horizontal="center"/>
    </xf>
    <xf numFmtId="166" fontId="0" fillId="0" borderId="0" xfId="0" applyNumberFormat="1" applyAlignment="1">
      <alignment horizontal="center"/>
    </xf>
    <xf numFmtId="167" fontId="5" fillId="0" borderId="0" xfId="0" applyNumberFormat="1" applyFont="1" applyAlignment="1">
      <alignment horizontal="center"/>
    </xf>
    <xf numFmtId="0" fontId="5" fillId="4" borderId="7" xfId="0" applyFont="1" applyFill="1" applyBorder="1"/>
    <xf numFmtId="6" fontId="2" fillId="4" borderId="8" xfId="0" applyNumberFormat="1" applyFont="1" applyFill="1" applyBorder="1" applyAlignment="1">
      <alignment horizontal="center"/>
    </xf>
    <xf numFmtId="0" fontId="0" fillId="4" borderId="8" xfId="0" applyFill="1" applyBorder="1"/>
    <xf numFmtId="0" fontId="0" fillId="4" borderId="10" xfId="0" applyFill="1" applyBorder="1"/>
    <xf numFmtId="0" fontId="11" fillId="0" borderId="0" xfId="0" applyFont="1" applyAlignment="1">
      <alignment horizontal="right" wrapText="1"/>
    </xf>
    <xf numFmtId="164" fontId="2" fillId="7" borderId="11" xfId="0" applyNumberFormat="1" applyFont="1" applyFill="1" applyBorder="1" applyAlignment="1">
      <alignment horizontal="center"/>
    </xf>
    <xf numFmtId="164" fontId="4" fillId="0" borderId="11" xfId="0" applyNumberFormat="1" applyFont="1" applyBorder="1" applyAlignment="1">
      <alignment horizontal="center"/>
    </xf>
    <xf numFmtId="0" fontId="11" fillId="7" borderId="13" xfId="0" applyFont="1" applyFill="1" applyBorder="1" applyAlignment="1">
      <alignment horizontal="right" wrapText="1"/>
    </xf>
    <xf numFmtId="164" fontId="3" fillId="0" borderId="14" xfId="0" applyNumberFormat="1" applyFont="1" applyBorder="1" applyAlignment="1">
      <alignment horizontal="center"/>
    </xf>
    <xf numFmtId="0" fontId="2" fillId="8" borderId="3" xfId="0" applyFont="1" applyFill="1" applyBorder="1" applyAlignment="1">
      <alignment wrapText="1"/>
    </xf>
    <xf numFmtId="164" fontId="2" fillId="8" borderId="3" xfId="0" applyNumberFormat="1" applyFont="1" applyFill="1" applyBorder="1" applyAlignment="1">
      <alignment horizontal="center"/>
    </xf>
    <xf numFmtId="42" fontId="2" fillId="8" borderId="3" xfId="0" applyNumberFormat="1" applyFont="1" applyFill="1" applyBorder="1" applyAlignment="1">
      <alignment horizontal="center"/>
    </xf>
    <xf numFmtId="164" fontId="4" fillId="8" borderId="3" xfId="0" applyNumberFormat="1" applyFont="1" applyFill="1" applyBorder="1" applyAlignment="1">
      <alignment horizontal="center"/>
    </xf>
    <xf numFmtId="164" fontId="3" fillId="8" borderId="3" xfId="0" applyNumberFormat="1" applyFont="1" applyFill="1" applyBorder="1" applyAlignment="1">
      <alignment horizontal="center"/>
    </xf>
    <xf numFmtId="42" fontId="11" fillId="0" borderId="14" xfId="0" applyNumberFormat="1" applyFont="1" applyBorder="1" applyAlignment="1">
      <alignment horizontal="center"/>
    </xf>
    <xf numFmtId="164" fontId="20" fillId="6" borderId="1" xfId="0" applyNumberFormat="1" applyFont="1" applyFill="1" applyBorder="1" applyAlignment="1">
      <alignment horizontal="center"/>
    </xf>
    <xf numFmtId="164" fontId="21" fillId="6" borderId="1" xfId="0" applyNumberFormat="1" applyFont="1" applyFill="1" applyBorder="1" applyAlignment="1">
      <alignment horizontal="center"/>
    </xf>
    <xf numFmtId="0" fontId="20" fillId="6" borderId="1" xfId="0" applyFont="1" applyFill="1" applyBorder="1" applyAlignment="1">
      <alignment horizontal="center"/>
    </xf>
    <xf numFmtId="164" fontId="20" fillId="6" borderId="15" xfId="0" applyNumberFormat="1" applyFont="1" applyFill="1" applyBorder="1" applyAlignment="1">
      <alignment horizontal="center"/>
    </xf>
    <xf numFmtId="164" fontId="20" fillId="6" borderId="12" xfId="0" applyNumberFormat="1" applyFont="1" applyFill="1" applyBorder="1" applyAlignment="1">
      <alignment horizontal="center"/>
    </xf>
    <xf numFmtId="0" fontId="22" fillId="6" borderId="1" xfId="0" applyFont="1" applyFill="1" applyBorder="1" applyAlignment="1">
      <alignment horizontal="center"/>
    </xf>
    <xf numFmtId="164" fontId="22" fillId="6" borderId="1" xfId="0" applyNumberFormat="1" applyFont="1" applyFill="1" applyBorder="1" applyAlignment="1">
      <alignment horizontal="center"/>
    </xf>
    <xf numFmtId="6" fontId="20" fillId="6" borderId="1" xfId="0" applyNumberFormat="1" applyFont="1" applyFill="1" applyBorder="1" applyAlignment="1">
      <alignment horizontal="center"/>
    </xf>
    <xf numFmtId="164" fontId="23" fillId="6" borderId="1" xfId="0" applyNumberFormat="1" applyFont="1" applyFill="1" applyBorder="1" applyAlignment="1">
      <alignment horizontal="center"/>
    </xf>
    <xf numFmtId="164" fontId="24" fillId="6" borderId="1" xfId="0" applyNumberFormat="1" applyFont="1" applyFill="1" applyBorder="1" applyAlignment="1">
      <alignment horizontal="center"/>
    </xf>
    <xf numFmtId="6" fontId="22" fillId="6" borderId="1" xfId="0" applyNumberFormat="1" applyFont="1" applyFill="1" applyBorder="1" applyAlignment="1">
      <alignment horizontal="center"/>
    </xf>
    <xf numFmtId="0" fontId="21" fillId="6" borderId="1" xfId="0" applyFont="1" applyFill="1" applyBorder="1" applyAlignment="1">
      <alignment horizontal="center"/>
    </xf>
    <xf numFmtId="164" fontId="21" fillId="6" borderId="16" xfId="0" applyNumberFormat="1" applyFont="1" applyFill="1" applyBorder="1" applyAlignment="1">
      <alignment horizontal="center"/>
    </xf>
    <xf numFmtId="164" fontId="20" fillId="6" borderId="16" xfId="0" applyNumberFormat="1" applyFont="1" applyFill="1" applyBorder="1" applyAlignment="1">
      <alignment horizontal="center"/>
    </xf>
    <xf numFmtId="0" fontId="22" fillId="6" borderId="17" xfId="0" applyFont="1" applyFill="1" applyBorder="1" applyAlignment="1">
      <alignment horizontal="center"/>
    </xf>
    <xf numFmtId="42" fontId="2" fillId="0" borderId="14" xfId="0" applyNumberFormat="1" applyFont="1" applyBorder="1" applyAlignment="1">
      <alignment horizontal="center"/>
    </xf>
    <xf numFmtId="42" fontId="2" fillId="8" borderId="14" xfId="0" applyNumberFormat="1" applyFont="1" applyFill="1" applyBorder="1" applyAlignment="1">
      <alignment horizontal="center"/>
    </xf>
    <xf numFmtId="42" fontId="2" fillId="0" borderId="20" xfId="0" applyNumberFormat="1" applyFont="1" applyBorder="1"/>
    <xf numFmtId="6" fontId="20" fillId="6" borderId="19" xfId="0" applyNumberFormat="1" applyFont="1" applyFill="1" applyBorder="1" applyAlignment="1">
      <alignment horizontal="center"/>
    </xf>
    <xf numFmtId="0" fontId="22" fillId="6" borderId="9" xfId="0" applyFont="1" applyFill="1" applyBorder="1" applyAlignment="1">
      <alignment horizontal="center"/>
    </xf>
    <xf numFmtId="164" fontId="2" fillId="0" borderId="20" xfId="0" applyNumberFormat="1" applyFont="1" applyBorder="1" applyAlignment="1">
      <alignment horizontal="center"/>
    </xf>
    <xf numFmtId="164" fontId="20" fillId="6" borderId="19" xfId="0" applyNumberFormat="1" applyFont="1" applyFill="1" applyBorder="1" applyAlignment="1">
      <alignment horizontal="center"/>
    </xf>
    <xf numFmtId="164" fontId="20" fillId="6" borderId="2" xfId="0" applyNumberFormat="1" applyFont="1" applyFill="1" applyBorder="1" applyAlignment="1">
      <alignment horizontal="center"/>
    </xf>
    <xf numFmtId="164" fontId="20" fillId="6" borderId="18" xfId="0" applyNumberFormat="1" applyFont="1" applyFill="1" applyBorder="1" applyAlignment="1">
      <alignment horizontal="center"/>
    </xf>
    <xf numFmtId="6" fontId="8" fillId="0" borderId="0" xfId="0" applyNumberFormat="1" applyFont="1" applyAlignment="1">
      <alignment horizontal="center"/>
    </xf>
    <xf numFmtId="6" fontId="9" fillId="0" borderId="0" xfId="0" applyNumberFormat="1" applyFont="1" applyAlignment="1">
      <alignment horizontal="center"/>
    </xf>
    <xf numFmtId="0" fontId="9" fillId="0" borderId="0" xfId="0" applyFont="1"/>
    <xf numFmtId="0" fontId="22" fillId="6" borderId="2" xfId="0" applyFont="1" applyFill="1" applyBorder="1" applyAlignment="1">
      <alignment horizontal="center"/>
    </xf>
    <xf numFmtId="164" fontId="18" fillId="0" borderId="0" xfId="0" applyNumberFormat="1" applyFont="1" applyAlignment="1">
      <alignment horizontal="center"/>
    </xf>
    <xf numFmtId="0" fontId="0" fillId="0" borderId="25" xfId="0" applyBorder="1"/>
    <xf numFmtId="0" fontId="26" fillId="0" borderId="21" xfId="0" applyFont="1" applyBorder="1"/>
    <xf numFmtId="6" fontId="2" fillId="0" borderId="22" xfId="0" applyNumberFormat="1" applyFont="1" applyBorder="1" applyAlignment="1">
      <alignment horizontal="center"/>
    </xf>
    <xf numFmtId="164" fontId="25" fillId="0" borderId="23" xfId="0" applyNumberFormat="1" applyFont="1" applyBorder="1" applyAlignment="1">
      <alignment horizontal="left"/>
    </xf>
    <xf numFmtId="164" fontId="0" fillId="0" borderId="23" xfId="0" applyNumberFormat="1" applyBorder="1" applyAlignment="1">
      <alignment horizontal="left"/>
    </xf>
    <xf numFmtId="0" fontId="28" fillId="0" borderId="24" xfId="0" applyFont="1" applyBorder="1"/>
    <xf numFmtId="164" fontId="29" fillId="6" borderId="26" xfId="0" applyNumberFormat="1" applyFont="1" applyFill="1" applyBorder="1" applyAlignment="1">
      <alignment horizontal="center"/>
    </xf>
    <xf numFmtId="0" fontId="10" fillId="0" borderId="0" xfId="0" applyFont="1" applyAlignment="1">
      <alignment horizontal="left" wrapText="1"/>
    </xf>
    <xf numFmtId="0" fontId="5" fillId="0" borderId="0" xfId="0" applyFont="1" applyAlignment="1">
      <alignment horizontal="right" wrapText="1"/>
    </xf>
    <xf numFmtId="0" fontId="7" fillId="0" borderId="0" xfId="0" applyFont="1" applyAlignment="1">
      <alignment horizontal="center"/>
    </xf>
    <xf numFmtId="5" fontId="8" fillId="0" borderId="0" xfId="0" applyNumberFormat="1" applyFont="1" applyAlignment="1">
      <alignment horizontal="right"/>
    </xf>
    <xf numFmtId="5" fontId="7" fillId="0" borderId="0" xfId="0" applyNumberFormat="1" applyFont="1" applyAlignment="1">
      <alignment horizontal="center"/>
    </xf>
    <xf numFmtId="0" fontId="13" fillId="0" borderId="0" xfId="0" applyFont="1"/>
    <xf numFmtId="0" fontId="30" fillId="0" borderId="0" xfId="0" applyFont="1" applyAlignment="1">
      <alignment horizontal="right"/>
    </xf>
    <xf numFmtId="6" fontId="0" fillId="0" borderId="0" xfId="0" applyNumberFormat="1"/>
    <xf numFmtId="0" fontId="13" fillId="0" borderId="0" xfId="0" applyFont="1" applyAlignment="1">
      <alignment horizontal="right"/>
    </xf>
    <xf numFmtId="164" fontId="13" fillId="0" borderId="0" xfId="0" applyNumberFormat="1" applyFont="1"/>
    <xf numFmtId="164" fontId="27" fillId="6" borderId="1" xfId="0" applyNumberFormat="1" applyFont="1" applyFill="1" applyBorder="1" applyAlignment="1">
      <alignment horizontal="center"/>
    </xf>
    <xf numFmtId="0" fontId="27" fillId="6" borderId="1" xfId="0" applyFont="1" applyFill="1" applyBorder="1" applyAlignment="1">
      <alignment horizontal="center"/>
    </xf>
    <xf numFmtId="6" fontId="13" fillId="0" borderId="0" xfId="0" applyNumberFormat="1" applyFont="1"/>
    <xf numFmtId="6" fontId="27" fillId="6" borderId="1" xfId="0" applyNumberFormat="1" applyFont="1" applyFill="1" applyBorder="1" applyAlignment="1">
      <alignment horizontal="center"/>
    </xf>
    <xf numFmtId="6" fontId="0" fillId="0" borderId="0" xfId="0" applyNumberFormat="1" applyAlignment="1">
      <alignment horizontal="center"/>
    </xf>
    <xf numFmtId="164" fontId="20" fillId="9" borderId="1" xfId="0" applyNumberFormat="1" applyFont="1" applyFill="1" applyBorder="1" applyAlignment="1">
      <alignment horizontal="center"/>
    </xf>
    <xf numFmtId="6" fontId="2" fillId="0" borderId="6" xfId="0" applyNumberFormat="1" applyFont="1" applyBorder="1" applyAlignment="1">
      <alignment horizontal="center"/>
    </xf>
    <xf numFmtId="164" fontId="4" fillId="3" borderId="0" xfId="0" applyNumberFormat="1" applyFont="1" applyFill="1" applyAlignment="1">
      <alignment horizontal="center"/>
    </xf>
    <xf numFmtId="6" fontId="18" fillId="0" borderId="0" xfId="0" applyNumberFormat="1" applyFont="1"/>
    <xf numFmtId="6" fontId="1" fillId="0" borderId="0" xfId="0" applyNumberFormat="1" applyFont="1" applyAlignment="1">
      <alignment horizontal="center"/>
    </xf>
    <xf numFmtId="164" fontId="6" fillId="0" borderId="0" xfId="0" applyNumberFormat="1" applyFont="1"/>
    <xf numFmtId="0" fontId="14" fillId="0" borderId="0" xfId="0" applyFont="1"/>
    <xf numFmtId="0" fontId="6" fillId="0" borderId="0" xfId="0" applyFont="1"/>
    <xf numFmtId="164" fontId="3" fillId="0" borderId="0" xfId="0" applyNumberFormat="1" applyFont="1"/>
    <xf numFmtId="6" fontId="12" fillId="0" borderId="0" xfId="0" applyNumberFormat="1" applyFont="1" applyAlignment="1">
      <alignment horizontal="center"/>
    </xf>
    <xf numFmtId="6" fontId="24" fillId="6" borderId="1" xfId="0" applyNumberFormat="1" applyFont="1" applyFill="1" applyBorder="1" applyAlignment="1">
      <alignment horizontal="center"/>
    </xf>
    <xf numFmtId="6" fontId="31" fillId="0" borderId="0" xfId="0" applyNumberFormat="1" applyFont="1" applyAlignment="1">
      <alignment horizontal="center"/>
    </xf>
    <xf numFmtId="6" fontId="1" fillId="0" borderId="0" xfId="0" applyNumberFormat="1" applyFont="1"/>
    <xf numFmtId="0" fontId="0" fillId="0" borderId="0" xfId="0" applyAlignment="1">
      <alignment wrapText="1"/>
    </xf>
    <xf numFmtId="9" fontId="0" fillId="0" borderId="0" xfId="1" applyFont="1" applyAlignment="1">
      <alignment horizontal="center"/>
    </xf>
    <xf numFmtId="6" fontId="0" fillId="0" borderId="0" xfId="0" applyNumberFormat="1" applyAlignment="1">
      <alignment wrapText="1"/>
    </xf>
  </cellXfs>
  <cellStyles count="2">
    <cellStyle name="Normal" xfId="0" builtinId="0"/>
    <cellStyle name="Per cent" xfId="1" builtinId="5"/>
  </cellStyles>
  <dxfs count="0"/>
  <tableStyles count="0" defaultTableStyle="TableStyleMedium2" defaultPivotStyle="PivotStyleLight16"/>
  <colors>
    <mruColors>
      <color rgb="FFFF99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1" i="0" u="sng" baseline="0"/>
              <a:t>Years 1-10 BL1 - Income from Loggers Shieling and Artists Bothy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'WSWG Financial Projections&amp;P&amp;L'!$A$8</c:f>
              <c:strCache>
                <c:ptCount val="1"/>
                <c:pt idx="0">
                  <c:v>Logger's Shieling</c:v>
                </c:pt>
              </c:strCache>
            </c:strRef>
          </c:tx>
          <c:spPr>
            <a:solidFill>
              <a:schemeClr val="accent1"/>
            </a:solidFill>
            <a:ln>
              <a:noFill/>
            </a:ln>
            <a:effectLst/>
          </c:spPr>
          <c:invertIfNegative val="0"/>
          <c:val>
            <c:numRef>
              <c:f>'WSWG Financial Projections&amp;P&amp;L'!$B$8:$K$8</c:f>
              <c:numCache>
                <c:formatCode>"£"#,##0</c:formatCode>
                <c:ptCount val="10"/>
                <c:pt idx="0">
                  <c:v>1692</c:v>
                </c:pt>
                <c:pt idx="1">
                  <c:v>4230</c:v>
                </c:pt>
                <c:pt idx="2">
                  <c:v>5076</c:v>
                </c:pt>
                <c:pt idx="3">
                  <c:v>5922</c:v>
                </c:pt>
                <c:pt idx="4">
                  <c:v>6768</c:v>
                </c:pt>
                <c:pt idx="5">
                  <c:v>7614</c:v>
                </c:pt>
                <c:pt idx="6">
                  <c:v>8460</c:v>
                </c:pt>
                <c:pt idx="7">
                  <c:v>8460</c:v>
                </c:pt>
                <c:pt idx="8">
                  <c:v>8460</c:v>
                </c:pt>
                <c:pt idx="9">
                  <c:v>8460</c:v>
                </c:pt>
              </c:numCache>
            </c:numRef>
          </c:val>
          <c:extLst>
            <c:ext xmlns:c16="http://schemas.microsoft.com/office/drawing/2014/chart" uri="{C3380CC4-5D6E-409C-BE32-E72D297353CC}">
              <c16:uniqueId val="{00000000-97EB-4B0C-AA26-2045052B7319}"/>
            </c:ext>
          </c:extLst>
        </c:ser>
        <c:ser>
          <c:idx val="1"/>
          <c:order val="1"/>
          <c:tx>
            <c:strRef>
              <c:f>'WSWG Financial Projections&amp;P&amp;L'!$A$9</c:f>
              <c:strCache>
                <c:ptCount val="1"/>
                <c:pt idx="0">
                  <c:v>Artists' Bothy</c:v>
                </c:pt>
              </c:strCache>
            </c:strRef>
          </c:tx>
          <c:spPr>
            <a:solidFill>
              <a:schemeClr val="accent2"/>
            </a:solidFill>
            <a:ln>
              <a:noFill/>
            </a:ln>
            <a:effectLst/>
          </c:spPr>
          <c:invertIfNegative val="0"/>
          <c:val>
            <c:numRef>
              <c:f>'WSWG Financial Projections&amp;P&amp;L'!$B$9:$K$9</c:f>
              <c:numCache>
                <c:formatCode>"£"#,##0</c:formatCode>
                <c:ptCount val="10"/>
                <c:pt idx="1">
                  <c:v>5820</c:v>
                </c:pt>
                <c:pt idx="2">
                  <c:v>7698.8</c:v>
                </c:pt>
                <c:pt idx="3">
                  <c:v>12660</c:v>
                </c:pt>
                <c:pt idx="4">
                  <c:v>12660</c:v>
                </c:pt>
                <c:pt idx="5">
                  <c:v>12660</c:v>
                </c:pt>
                <c:pt idx="6">
                  <c:v>12660</c:v>
                </c:pt>
                <c:pt idx="7">
                  <c:v>12660</c:v>
                </c:pt>
                <c:pt idx="8">
                  <c:v>12660</c:v>
                </c:pt>
                <c:pt idx="9">
                  <c:v>12660</c:v>
                </c:pt>
              </c:numCache>
            </c:numRef>
          </c:val>
          <c:extLst>
            <c:ext xmlns:c16="http://schemas.microsoft.com/office/drawing/2014/chart" uri="{C3380CC4-5D6E-409C-BE32-E72D297353CC}">
              <c16:uniqueId val="{00000001-97EB-4B0C-AA26-2045052B7319}"/>
            </c:ext>
          </c:extLst>
        </c:ser>
        <c:dLbls>
          <c:showLegendKey val="0"/>
          <c:showVal val="0"/>
          <c:showCatName val="0"/>
          <c:showSerName val="0"/>
          <c:showPercent val="0"/>
          <c:showBubbleSize val="0"/>
        </c:dLbls>
        <c:gapWidth val="219"/>
        <c:overlap val="-27"/>
        <c:axId val="1304848416"/>
        <c:axId val="1304848000"/>
      </c:barChart>
      <c:catAx>
        <c:axId val="130484841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4848000"/>
        <c:crosses val="autoZero"/>
        <c:auto val="1"/>
        <c:lblAlgn val="ctr"/>
        <c:lblOffset val="100"/>
        <c:noMultiLvlLbl val="0"/>
      </c:catAx>
      <c:valAx>
        <c:axId val="130484800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48484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sng" strike="noStrike" kern="1200" spc="0" baseline="0">
                <a:solidFill>
                  <a:schemeClr val="tx1"/>
                </a:solidFill>
                <a:latin typeface="+mn-lt"/>
                <a:ea typeface="+mn-ea"/>
                <a:cs typeface="+mn-cs"/>
              </a:defRPr>
            </a:pPr>
            <a:r>
              <a:rPr lang="en-US" b="1" i="0" u="sng" baseline="0">
                <a:solidFill>
                  <a:schemeClr val="tx1"/>
                </a:solidFill>
              </a:rPr>
              <a:t>WSWG Enterprises Y1-10 BL1 &amp; 2 Net Annual Trading Surplus / Loss</a:t>
            </a:r>
          </a:p>
        </c:rich>
      </c:tx>
      <c:layout>
        <c:manualLayout>
          <c:xMode val="edge"/>
          <c:yMode val="edge"/>
          <c:x val="0.13685822065986605"/>
          <c:y val="2.4400868110974819E-2"/>
        </c:manualLayout>
      </c:layout>
      <c:overlay val="0"/>
      <c:spPr>
        <a:noFill/>
        <a:ln>
          <a:noFill/>
        </a:ln>
        <a:effectLst/>
      </c:spPr>
      <c:txPr>
        <a:bodyPr rot="0" spcFirstLastPara="1" vertOverflow="ellipsis" vert="horz" wrap="square" anchor="ctr" anchorCtr="1"/>
        <a:lstStyle/>
        <a:p>
          <a:pPr>
            <a:defRPr sz="1400" b="1" i="0" u="sng"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045637100698676"/>
          <c:y val="0.2411502937024626"/>
          <c:w val="0.87196959172816524"/>
          <c:h val="0.6779842961612137"/>
        </c:manualLayout>
      </c:layout>
      <c:barChart>
        <c:barDir val="col"/>
        <c:grouping val="clustered"/>
        <c:varyColors val="0"/>
        <c:ser>
          <c:idx val="0"/>
          <c:order val="0"/>
          <c:tx>
            <c:strRef>
              <c:f>'WSWG Financial Projections&amp;P&amp;L'!$A$89</c:f>
              <c:strCache>
                <c:ptCount val="1"/>
                <c:pt idx="0">
                  <c:v>Net Annual Trading Surplus / Loss BL1+BL2+BL3</c:v>
                </c:pt>
              </c:strCache>
            </c:strRef>
          </c:tx>
          <c:spPr>
            <a:solidFill>
              <a:schemeClr val="accent1"/>
            </a:solidFill>
            <a:ln>
              <a:noFill/>
            </a:ln>
            <a:effectLst/>
          </c:spPr>
          <c:invertIfNegative val="0"/>
          <c:val>
            <c:numRef>
              <c:f>'WSWG Financial Projections&amp;P&amp;L'!$B$89:$K$89</c:f>
              <c:numCache>
                <c:formatCode>"£"#,##0_);[Red]\("£"#,##0\)</c:formatCode>
                <c:ptCount val="10"/>
                <c:pt idx="0">
                  <c:v>219216.33333333299</c:v>
                </c:pt>
                <c:pt idx="1">
                  <c:v>112473.33333333299</c:v>
                </c:pt>
                <c:pt idx="2">
                  <c:v>168125.13333333298</c:v>
                </c:pt>
                <c:pt idx="3">
                  <c:v>53752</c:v>
                </c:pt>
                <c:pt idx="4">
                  <c:v>34935</c:v>
                </c:pt>
                <c:pt idx="5">
                  <c:v>197660</c:v>
                </c:pt>
                <c:pt idx="6">
                  <c:v>111938</c:v>
                </c:pt>
                <c:pt idx="7">
                  <c:v>117546</c:v>
                </c:pt>
                <c:pt idx="8">
                  <c:v>141596</c:v>
                </c:pt>
                <c:pt idx="9">
                  <c:v>149831</c:v>
                </c:pt>
              </c:numCache>
            </c:numRef>
          </c:val>
          <c:extLst>
            <c:ext xmlns:c16="http://schemas.microsoft.com/office/drawing/2014/chart" uri="{C3380CC4-5D6E-409C-BE32-E72D297353CC}">
              <c16:uniqueId val="{00000000-4D6B-44EE-9D9A-7465511EE8F3}"/>
            </c:ext>
          </c:extLst>
        </c:ser>
        <c:dLbls>
          <c:showLegendKey val="0"/>
          <c:showVal val="0"/>
          <c:showCatName val="0"/>
          <c:showSerName val="0"/>
          <c:showPercent val="0"/>
          <c:showBubbleSize val="0"/>
        </c:dLbls>
        <c:gapWidth val="219"/>
        <c:overlap val="-27"/>
        <c:axId val="678324192"/>
        <c:axId val="678325024"/>
      </c:barChart>
      <c:catAx>
        <c:axId val="678324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8325024"/>
        <c:crosses val="autoZero"/>
        <c:auto val="1"/>
        <c:lblAlgn val="ctr"/>
        <c:lblOffset val="100"/>
        <c:noMultiLvlLbl val="0"/>
      </c:catAx>
      <c:valAx>
        <c:axId val="67832502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83241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sng" strike="noStrike" kern="1200" spc="0" baseline="0">
                <a:solidFill>
                  <a:schemeClr val="tx1"/>
                </a:solidFill>
                <a:uFill>
                  <a:solidFill>
                    <a:schemeClr val="tx1"/>
                  </a:solidFill>
                </a:uFill>
                <a:latin typeface="+mn-lt"/>
                <a:ea typeface="+mn-ea"/>
                <a:cs typeface="+mn-cs"/>
              </a:defRPr>
            </a:pPr>
            <a:r>
              <a:rPr lang="en-US" b="1" i="0" u="sng" baseline="0">
                <a:solidFill>
                  <a:schemeClr val="tx1"/>
                </a:solidFill>
                <a:uFill>
                  <a:solidFill>
                    <a:schemeClr val="tx1"/>
                  </a:solidFill>
                </a:uFill>
              </a:rPr>
              <a:t>WSWG Enterprises Y1-10 BL1 &amp; 2 Cumultative Net Annual Trading Surplus / Loss</a:t>
            </a:r>
          </a:p>
        </c:rich>
      </c:tx>
      <c:overlay val="0"/>
      <c:spPr>
        <a:noFill/>
        <a:ln>
          <a:noFill/>
        </a:ln>
        <a:effectLst/>
      </c:spPr>
      <c:txPr>
        <a:bodyPr rot="0" spcFirstLastPara="1" vertOverflow="ellipsis" vert="horz" wrap="square" anchor="ctr" anchorCtr="1"/>
        <a:lstStyle/>
        <a:p>
          <a:pPr>
            <a:defRPr sz="1400" b="1" i="0" u="sng" strike="noStrike" kern="1200" spc="0" baseline="0">
              <a:solidFill>
                <a:schemeClr val="tx1"/>
              </a:solidFill>
              <a:uFill>
                <a:solidFill>
                  <a:schemeClr val="tx1"/>
                </a:solidFill>
              </a:uFill>
              <a:latin typeface="+mn-lt"/>
              <a:ea typeface="+mn-ea"/>
              <a:cs typeface="+mn-cs"/>
            </a:defRPr>
          </a:pPr>
          <a:endParaRPr lang="en-US"/>
        </a:p>
      </c:txPr>
    </c:title>
    <c:autoTitleDeleted val="0"/>
    <c:plotArea>
      <c:layout/>
      <c:barChart>
        <c:barDir val="col"/>
        <c:grouping val="clustered"/>
        <c:varyColors val="0"/>
        <c:ser>
          <c:idx val="0"/>
          <c:order val="0"/>
          <c:tx>
            <c:strRef>
              <c:f>'WSWG Financial Projections&amp;P&amp;L'!$A$91</c:f>
              <c:strCache>
                <c:ptCount val="1"/>
                <c:pt idx="0">
                  <c:v>Cumultative Net Annual Trading Surplus / Loss</c:v>
                </c:pt>
              </c:strCache>
            </c:strRef>
          </c:tx>
          <c:spPr>
            <a:solidFill>
              <a:schemeClr val="accent1"/>
            </a:solidFill>
            <a:ln>
              <a:noFill/>
            </a:ln>
            <a:effectLst/>
          </c:spPr>
          <c:invertIfNegative val="0"/>
          <c:val>
            <c:numRef>
              <c:f>'WSWG Financial Projections&amp;P&amp;L'!$B$91:$K$91</c:f>
              <c:numCache>
                <c:formatCode>"£"#,##0_);[Red]\("£"#,##0\)</c:formatCode>
                <c:ptCount val="10"/>
                <c:pt idx="0">
                  <c:v>219216.33333333299</c:v>
                </c:pt>
                <c:pt idx="1">
                  <c:v>331689.66666666599</c:v>
                </c:pt>
                <c:pt idx="2">
                  <c:v>499814.799999999</c:v>
                </c:pt>
                <c:pt idx="3">
                  <c:v>553566.799999999</c:v>
                </c:pt>
                <c:pt idx="4">
                  <c:v>588501.799999999</c:v>
                </c:pt>
                <c:pt idx="5">
                  <c:v>786161.799999999</c:v>
                </c:pt>
                <c:pt idx="6">
                  <c:v>898099.799999999</c:v>
                </c:pt>
                <c:pt idx="7">
                  <c:v>1015645.799999999</c:v>
                </c:pt>
                <c:pt idx="8">
                  <c:v>1157241.7999999989</c:v>
                </c:pt>
                <c:pt idx="9">
                  <c:v>1307072.7999999989</c:v>
                </c:pt>
              </c:numCache>
            </c:numRef>
          </c:val>
          <c:extLst>
            <c:ext xmlns:c16="http://schemas.microsoft.com/office/drawing/2014/chart" uri="{C3380CC4-5D6E-409C-BE32-E72D297353CC}">
              <c16:uniqueId val="{00000000-0B19-48DA-B025-860740848F97}"/>
            </c:ext>
          </c:extLst>
        </c:ser>
        <c:dLbls>
          <c:showLegendKey val="0"/>
          <c:showVal val="0"/>
          <c:showCatName val="0"/>
          <c:showSerName val="0"/>
          <c:showPercent val="0"/>
          <c:showBubbleSize val="0"/>
        </c:dLbls>
        <c:gapWidth val="219"/>
        <c:overlap val="-27"/>
        <c:axId val="576323440"/>
        <c:axId val="576324272"/>
      </c:barChart>
      <c:catAx>
        <c:axId val="576323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6324272"/>
        <c:crosses val="autoZero"/>
        <c:auto val="1"/>
        <c:lblAlgn val="ctr"/>
        <c:lblOffset val="100"/>
        <c:noMultiLvlLbl val="0"/>
      </c:catAx>
      <c:valAx>
        <c:axId val="57632427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63234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00" b="1" i="0" u="sng" strike="noStrike" kern="1200" spc="0" baseline="0">
                <a:solidFill>
                  <a:schemeClr val="tx1">
                    <a:lumMod val="65000"/>
                    <a:lumOff val="35000"/>
                  </a:schemeClr>
                </a:solidFill>
                <a:latin typeface="+mn-lt"/>
                <a:ea typeface="+mn-ea"/>
                <a:cs typeface="+mn-cs"/>
              </a:defRPr>
            </a:pPr>
            <a:r>
              <a:rPr lang="en-US" sz="1300" b="1" i="0" u="sng" baseline="0"/>
              <a:t>WSWG Enterprises BL1 Share of Y1-10 income total (£167,281) from Loggers Shieling and Artists Bothy </a:t>
            </a:r>
          </a:p>
        </c:rich>
      </c:tx>
      <c:overlay val="0"/>
      <c:spPr>
        <a:noFill/>
        <a:ln>
          <a:noFill/>
        </a:ln>
        <a:effectLst/>
      </c:spPr>
      <c:txPr>
        <a:bodyPr rot="0" spcFirstLastPara="1" vertOverflow="ellipsis" vert="horz" wrap="square" anchor="ctr" anchorCtr="1"/>
        <a:lstStyle/>
        <a:p>
          <a:pPr>
            <a:defRPr sz="1300" b="1" i="0" u="sng"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964253479106479"/>
          <c:y val="0.21945302417308338"/>
          <c:w val="0.3783725145867558"/>
          <c:h val="0.58114673511114978"/>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E2F-4249-AC31-52BCD9AEC55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E2F-4249-AC31-52BCD9AEC559}"/>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Sheet2!$A$8:$A$9</c:f>
              <c:strCache>
                <c:ptCount val="2"/>
                <c:pt idx="0">
                  <c:v>Logger's Shieling</c:v>
                </c:pt>
                <c:pt idx="1">
                  <c:v>Artists' Bothy</c:v>
                </c:pt>
              </c:strCache>
            </c:strRef>
          </c:cat>
          <c:val>
            <c:numRef>
              <c:f>Sheet2!$B$8:$B$9</c:f>
              <c:numCache>
                <c:formatCode>"£"#,##0_);[Red]\("£"#,##0\)</c:formatCode>
                <c:ptCount val="2"/>
                <c:pt idx="0">
                  <c:v>65142</c:v>
                </c:pt>
                <c:pt idx="1">
                  <c:v>102138.8</c:v>
                </c:pt>
              </c:numCache>
            </c:numRef>
          </c:val>
          <c:extLst>
            <c:ext xmlns:c16="http://schemas.microsoft.com/office/drawing/2014/chart" uri="{C3380CC4-5D6E-409C-BE32-E72D297353CC}">
              <c16:uniqueId val="{00000004-FE2F-4249-AC31-52BCD9AEC559}"/>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00" b="1" i="0" u="sng" strike="noStrike" kern="1200" spc="0" baseline="0">
                <a:solidFill>
                  <a:schemeClr val="tx1"/>
                </a:solidFill>
                <a:uFill>
                  <a:solidFill>
                    <a:schemeClr val="tx1"/>
                  </a:solidFill>
                </a:uFill>
                <a:latin typeface="+mn-lt"/>
                <a:ea typeface="+mn-ea"/>
                <a:cs typeface="+mn-cs"/>
              </a:defRPr>
            </a:pPr>
            <a:r>
              <a:rPr lang="en-US" sz="1300" b="1" i="0" u="sng" baseline="0">
                <a:solidFill>
                  <a:schemeClr val="tx1"/>
                </a:solidFill>
                <a:uFill>
                  <a:solidFill>
                    <a:schemeClr val="tx1"/>
                  </a:solidFill>
                </a:uFill>
              </a:rPr>
              <a:t>WSWG Enterprises BL1 Share of  Y1-10 income total (£1.314m) from Timber &amp; Living Forest  for each wood  </a:t>
            </a:r>
          </a:p>
        </c:rich>
      </c:tx>
      <c:layout>
        <c:manualLayout>
          <c:xMode val="edge"/>
          <c:yMode val="edge"/>
          <c:x val="7.9568345323741005E-2"/>
          <c:y val="2.2440396011145985E-2"/>
        </c:manualLayout>
      </c:layout>
      <c:overlay val="0"/>
      <c:spPr>
        <a:noFill/>
        <a:ln>
          <a:noFill/>
        </a:ln>
        <a:effectLst/>
      </c:spPr>
      <c:txPr>
        <a:bodyPr rot="0" spcFirstLastPara="1" vertOverflow="ellipsis" vert="horz" wrap="square" anchor="ctr" anchorCtr="1"/>
        <a:lstStyle/>
        <a:p>
          <a:pPr>
            <a:defRPr sz="1300" b="1" i="0" u="sng" strike="noStrike" kern="1200" spc="0" baseline="0">
              <a:solidFill>
                <a:schemeClr val="tx1"/>
              </a:solidFill>
              <a:uFill>
                <a:solidFill>
                  <a:schemeClr val="tx1"/>
                </a:solidFill>
              </a:u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E0-4DAA-ADB5-AE429CBBA26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E0-4DAA-ADB5-AE429CBBA26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E0-4DAA-ADB5-AE429CBBA26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E0-4DAA-ADB5-AE429CBBA26B}"/>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Sheet2!$A$12:$A$15</c:f>
              <c:strCache>
                <c:ptCount val="4"/>
                <c:pt idx="0">
                  <c:v>Woodland enterprises - Living Forest TW</c:v>
                </c:pt>
                <c:pt idx="1">
                  <c:v>Woodland enterprises Timber TW</c:v>
                </c:pt>
                <c:pt idx="2">
                  <c:v>Woodland enterprises - Living Forest FMW</c:v>
                </c:pt>
                <c:pt idx="3">
                  <c:v>Woodland enterprises - Timber FMW</c:v>
                </c:pt>
              </c:strCache>
            </c:strRef>
          </c:cat>
          <c:val>
            <c:numRef>
              <c:f>Sheet2!$B$12:$B$15</c:f>
              <c:numCache>
                <c:formatCode>"£"#,##0_);[Red]\("£"#,##0\)</c:formatCode>
                <c:ptCount val="4"/>
                <c:pt idx="0">
                  <c:v>414705</c:v>
                </c:pt>
                <c:pt idx="1">
                  <c:v>469202.99999999895</c:v>
                </c:pt>
                <c:pt idx="2">
                  <c:v>297600</c:v>
                </c:pt>
                <c:pt idx="3">
                  <c:v>132696</c:v>
                </c:pt>
              </c:numCache>
            </c:numRef>
          </c:val>
          <c:extLst>
            <c:ext xmlns:c16="http://schemas.microsoft.com/office/drawing/2014/chart" uri="{C3380CC4-5D6E-409C-BE32-E72D297353CC}">
              <c16:uniqueId val="{00000008-FAE0-4DAA-ADB5-AE429CBBA26B}"/>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2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00" b="1" i="0" u="sng" strike="noStrike" kern="1200" spc="0" baseline="0">
                <a:solidFill>
                  <a:schemeClr val="tx1">
                    <a:lumMod val="65000"/>
                    <a:lumOff val="35000"/>
                  </a:schemeClr>
                </a:solidFill>
                <a:latin typeface="+mn-lt"/>
                <a:ea typeface="+mn-ea"/>
                <a:cs typeface="+mn-cs"/>
              </a:defRPr>
            </a:pPr>
            <a:r>
              <a:rPr lang="en-US" sz="1300" b="1" i="0" u="sng" baseline="0"/>
              <a:t>WSWG Enterprises BL2 Share of Y1-10 income total (£338,700) from Camp 53 Activities</a:t>
            </a:r>
          </a:p>
        </c:rich>
      </c:tx>
      <c:overlay val="0"/>
      <c:spPr>
        <a:noFill/>
        <a:ln>
          <a:noFill/>
        </a:ln>
        <a:effectLst/>
      </c:spPr>
      <c:txPr>
        <a:bodyPr rot="0" spcFirstLastPara="1" vertOverflow="ellipsis" vert="horz" wrap="square" anchor="ctr" anchorCtr="1"/>
        <a:lstStyle/>
        <a:p>
          <a:pPr>
            <a:defRPr sz="1300" b="1" i="0" u="sng"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91F-4BD0-9573-E025BB54F77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91F-4BD0-9573-E025BB54F77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91F-4BD0-9573-E025BB54F77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91F-4BD0-9573-E025BB54F778}"/>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95000"/>
                        <a:lumOff val="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Sheet2!$A$19:$A$22</c:f>
              <c:strCache>
                <c:ptCount val="4"/>
                <c:pt idx="0">
                  <c:v>Camp 53 Café</c:v>
                </c:pt>
                <c:pt idx="1">
                  <c:v>Camp 53 Shop</c:v>
                </c:pt>
                <c:pt idx="2">
                  <c:v>Camp 53 Exhibition Space</c:v>
                </c:pt>
                <c:pt idx="3">
                  <c:v>Camp 53 Meeting Room</c:v>
                </c:pt>
              </c:strCache>
            </c:strRef>
          </c:cat>
          <c:val>
            <c:numRef>
              <c:f>Sheet2!$B$19:$B$22</c:f>
              <c:numCache>
                <c:formatCode>"£"#,##0_);[Red]\("£"#,##0\)</c:formatCode>
                <c:ptCount val="4"/>
                <c:pt idx="0">
                  <c:v>240000</c:v>
                </c:pt>
                <c:pt idx="1">
                  <c:v>50000</c:v>
                </c:pt>
                <c:pt idx="2">
                  <c:v>10200</c:v>
                </c:pt>
                <c:pt idx="3">
                  <c:v>38500</c:v>
                </c:pt>
              </c:numCache>
            </c:numRef>
          </c:val>
          <c:extLst>
            <c:ext xmlns:c16="http://schemas.microsoft.com/office/drawing/2014/chart" uri="{C3380CC4-5D6E-409C-BE32-E72D297353CC}">
              <c16:uniqueId val="{00000008-E91F-4BD0-9573-E025BB54F77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i="0" u="sng" baseline="0">
                <a:uFill>
                  <a:solidFill>
                    <a:schemeClr val="tx1"/>
                  </a:solidFill>
                </a:uFill>
              </a:rPr>
              <a:t>Years 1-10 Total Income Community Enterprises (BL1 +BL2 + BL3)  + Forest Enterprises (BL1)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C9A-468A-9A8F-605089A9AE4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C9A-468A-9A8F-605089A9AE4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C9A-468A-9A8F-605089A9AE4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C9A-468A-9A8F-605089A9AE44}"/>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n-US"/>
              </a:p>
            </c:txPr>
            <c:showLegendKey val="1"/>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Sheet2!$A$31:$A$34</c:f>
              <c:strCache>
                <c:ptCount val="4"/>
                <c:pt idx="0">
                  <c:v>Sub total Community enterprises BL1</c:v>
                </c:pt>
                <c:pt idx="1">
                  <c:v>Sub total forest enterprises BL1</c:v>
                </c:pt>
                <c:pt idx="2">
                  <c:v>Sub total Community enterprises BL2</c:v>
                </c:pt>
                <c:pt idx="3">
                  <c:v>Sub total community enterprises BL3</c:v>
                </c:pt>
              </c:strCache>
            </c:strRef>
          </c:cat>
          <c:val>
            <c:numRef>
              <c:f>Sheet2!$B$31:$B$34</c:f>
              <c:numCache>
                <c:formatCode>"£"#,##0_);[Red]\("£"#,##0\)</c:formatCode>
                <c:ptCount val="4"/>
                <c:pt idx="0">
                  <c:v>167280.79999999999</c:v>
                </c:pt>
                <c:pt idx="1">
                  <c:v>1314203.9999999991</c:v>
                </c:pt>
                <c:pt idx="2">
                  <c:v>338700</c:v>
                </c:pt>
                <c:pt idx="3">
                  <c:v>0</c:v>
                </c:pt>
              </c:numCache>
            </c:numRef>
          </c:val>
          <c:extLst>
            <c:ext xmlns:c16="http://schemas.microsoft.com/office/drawing/2014/chart" uri="{C3380CC4-5D6E-409C-BE32-E72D297353CC}">
              <c16:uniqueId val="{00000008-4C9A-468A-9A8F-605089A9AE4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sng" strike="noStrike" kern="1200" baseline="0">
              <a:solidFill>
                <a:schemeClr val="tx1">
                  <a:lumMod val="65000"/>
                  <a:lumOff val="35000"/>
                </a:schemeClr>
              </a:solidFill>
              <a:uFill>
                <a:solidFill>
                  <a:schemeClr val="tx1"/>
                </a:solidFill>
              </a:u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00" b="1" i="0" u="sng" strike="noStrike" kern="1200" spc="0" baseline="0">
                <a:solidFill>
                  <a:schemeClr val="tx1"/>
                </a:solidFill>
                <a:uFill>
                  <a:solidFill>
                    <a:schemeClr val="tx1"/>
                  </a:solidFill>
                </a:uFill>
                <a:latin typeface="+mn-lt"/>
                <a:ea typeface="+mn-ea"/>
                <a:cs typeface="+mn-cs"/>
              </a:defRPr>
            </a:pPr>
            <a:r>
              <a:rPr lang="en-US" sz="1300" b="1" i="0" u="sng" baseline="0">
                <a:solidFill>
                  <a:schemeClr val="tx1"/>
                </a:solidFill>
                <a:uFill>
                  <a:solidFill>
                    <a:schemeClr val="tx1"/>
                  </a:solidFill>
                </a:uFill>
              </a:rPr>
              <a:t>WSWG Enterprises BL1 Share of  Y1-10 income total (£1.314m) from Timber &amp; Living Forest  for each wood  </a:t>
            </a:r>
          </a:p>
        </c:rich>
      </c:tx>
      <c:layout>
        <c:manualLayout>
          <c:xMode val="edge"/>
          <c:yMode val="edge"/>
          <c:x val="7.9568345323741005E-2"/>
          <c:y val="2.2440396011145985E-2"/>
        </c:manualLayout>
      </c:layout>
      <c:overlay val="0"/>
      <c:spPr>
        <a:noFill/>
        <a:ln>
          <a:noFill/>
        </a:ln>
        <a:effectLst/>
      </c:spPr>
      <c:txPr>
        <a:bodyPr rot="0" spcFirstLastPara="1" vertOverflow="ellipsis" vert="horz" wrap="square" anchor="ctr" anchorCtr="1"/>
        <a:lstStyle/>
        <a:p>
          <a:pPr>
            <a:defRPr sz="1300" b="1" i="0" u="sng" strike="noStrike" kern="1200" spc="0" baseline="0">
              <a:solidFill>
                <a:schemeClr val="tx1"/>
              </a:solidFill>
              <a:uFill>
                <a:solidFill>
                  <a:schemeClr val="tx1"/>
                </a:solidFill>
              </a:u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770-4665-9035-FD0F4EF4306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770-4665-9035-FD0F4EF4306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770-4665-9035-FD0F4EF4306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770-4665-9035-FD0F4EF43062}"/>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Sheet2!$A$12:$A$15</c:f>
              <c:strCache>
                <c:ptCount val="4"/>
                <c:pt idx="0">
                  <c:v>Woodland enterprises - Living Forest TW</c:v>
                </c:pt>
                <c:pt idx="1">
                  <c:v>Woodland enterprises Timber TW</c:v>
                </c:pt>
                <c:pt idx="2">
                  <c:v>Woodland enterprises - Living Forest FMW</c:v>
                </c:pt>
                <c:pt idx="3">
                  <c:v>Woodland enterprises - Timber FMW</c:v>
                </c:pt>
              </c:strCache>
            </c:strRef>
          </c:cat>
          <c:val>
            <c:numRef>
              <c:f>Sheet2!$B$12:$B$15</c:f>
              <c:numCache>
                <c:formatCode>"£"#,##0_);[Red]\("£"#,##0\)</c:formatCode>
                <c:ptCount val="4"/>
                <c:pt idx="0">
                  <c:v>414705</c:v>
                </c:pt>
                <c:pt idx="1">
                  <c:v>469202.99999999895</c:v>
                </c:pt>
                <c:pt idx="2">
                  <c:v>297600</c:v>
                </c:pt>
                <c:pt idx="3">
                  <c:v>132696</c:v>
                </c:pt>
              </c:numCache>
            </c:numRef>
          </c:val>
          <c:extLst>
            <c:ext xmlns:c16="http://schemas.microsoft.com/office/drawing/2014/chart" uri="{C3380CC4-5D6E-409C-BE32-E72D297353CC}">
              <c16:uniqueId val="{00000000-F59D-4CA8-8D46-0B39B6CDA827}"/>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2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00" b="1" i="0" u="sng" strike="noStrike" kern="1200" spc="0" baseline="0">
                <a:solidFill>
                  <a:schemeClr val="tx1">
                    <a:lumMod val="65000"/>
                    <a:lumOff val="35000"/>
                  </a:schemeClr>
                </a:solidFill>
                <a:latin typeface="+mn-lt"/>
                <a:ea typeface="+mn-ea"/>
                <a:cs typeface="+mn-cs"/>
              </a:defRPr>
            </a:pPr>
            <a:r>
              <a:rPr lang="en-US" sz="1300" b="1" i="0" u="sng" baseline="0"/>
              <a:t>WSWG Enterprises BL1 Share of Y1-10 income total (£167,281) from Loggers Shieling and Artists Bothy </a:t>
            </a:r>
          </a:p>
        </c:rich>
      </c:tx>
      <c:overlay val="0"/>
      <c:spPr>
        <a:noFill/>
        <a:ln>
          <a:noFill/>
        </a:ln>
        <a:effectLst/>
      </c:spPr>
      <c:txPr>
        <a:bodyPr rot="0" spcFirstLastPara="1" vertOverflow="ellipsis" vert="horz" wrap="square" anchor="ctr" anchorCtr="1"/>
        <a:lstStyle/>
        <a:p>
          <a:pPr>
            <a:defRPr sz="1300" b="1" i="0" u="sng"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E4A-448D-B932-15D58660BA3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E4A-448D-B932-15D58660BA3B}"/>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Sheet2!$A$8:$A$9</c:f>
              <c:strCache>
                <c:ptCount val="2"/>
                <c:pt idx="0">
                  <c:v>Logger's Shieling</c:v>
                </c:pt>
                <c:pt idx="1">
                  <c:v>Artists' Bothy</c:v>
                </c:pt>
              </c:strCache>
            </c:strRef>
          </c:cat>
          <c:val>
            <c:numRef>
              <c:f>Sheet2!$B$8:$B$9</c:f>
              <c:numCache>
                <c:formatCode>"£"#,##0_);[Red]\("£"#,##0\)</c:formatCode>
                <c:ptCount val="2"/>
                <c:pt idx="0">
                  <c:v>65142</c:v>
                </c:pt>
                <c:pt idx="1">
                  <c:v>102138.8</c:v>
                </c:pt>
              </c:numCache>
            </c:numRef>
          </c:val>
          <c:extLst>
            <c:ext xmlns:c16="http://schemas.microsoft.com/office/drawing/2014/chart" uri="{C3380CC4-5D6E-409C-BE32-E72D297353CC}">
              <c16:uniqueId val="{00000000-D600-4E40-B046-590647DD8F17}"/>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00" b="1" i="0" u="sng" strike="noStrike" kern="1200" spc="0" baseline="0">
                <a:solidFill>
                  <a:schemeClr val="tx1">
                    <a:lumMod val="65000"/>
                    <a:lumOff val="35000"/>
                  </a:schemeClr>
                </a:solidFill>
                <a:latin typeface="+mn-lt"/>
                <a:ea typeface="+mn-ea"/>
                <a:cs typeface="+mn-cs"/>
              </a:defRPr>
            </a:pPr>
            <a:r>
              <a:rPr lang="en-US" sz="1300" b="1" i="0" u="sng" baseline="0"/>
              <a:t>WSWG Enterprises BL2 Share of Y1-10 income total (£338,700) from Camp 53 Activities</a:t>
            </a:r>
          </a:p>
        </c:rich>
      </c:tx>
      <c:overlay val="0"/>
      <c:spPr>
        <a:noFill/>
        <a:ln>
          <a:noFill/>
        </a:ln>
        <a:effectLst/>
      </c:spPr>
      <c:txPr>
        <a:bodyPr rot="0" spcFirstLastPara="1" vertOverflow="ellipsis" vert="horz" wrap="square" anchor="ctr" anchorCtr="1"/>
        <a:lstStyle/>
        <a:p>
          <a:pPr>
            <a:defRPr sz="1300" b="1" i="0" u="sng"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276-4A96-898E-A4BA1E87937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276-4A96-898E-A4BA1E87937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276-4A96-898E-A4BA1E87937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276-4A96-898E-A4BA1E87937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95000"/>
                        <a:lumOff val="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Sheet2!$A$19:$A$22</c:f>
              <c:strCache>
                <c:ptCount val="4"/>
                <c:pt idx="0">
                  <c:v>Camp 53 Café</c:v>
                </c:pt>
                <c:pt idx="1">
                  <c:v>Camp 53 Shop</c:v>
                </c:pt>
                <c:pt idx="2">
                  <c:v>Camp 53 Exhibition Space</c:v>
                </c:pt>
                <c:pt idx="3">
                  <c:v>Camp 53 Meeting Room</c:v>
                </c:pt>
              </c:strCache>
            </c:strRef>
          </c:cat>
          <c:val>
            <c:numRef>
              <c:f>Sheet2!$B$19:$B$22</c:f>
              <c:numCache>
                <c:formatCode>"£"#,##0_);[Red]\("£"#,##0\)</c:formatCode>
                <c:ptCount val="4"/>
                <c:pt idx="0">
                  <c:v>240000</c:v>
                </c:pt>
                <c:pt idx="1">
                  <c:v>50000</c:v>
                </c:pt>
                <c:pt idx="2">
                  <c:v>10200</c:v>
                </c:pt>
                <c:pt idx="3">
                  <c:v>38500</c:v>
                </c:pt>
              </c:numCache>
            </c:numRef>
          </c:val>
          <c:extLst>
            <c:ext xmlns:c16="http://schemas.microsoft.com/office/drawing/2014/chart" uri="{C3380CC4-5D6E-409C-BE32-E72D297353CC}">
              <c16:uniqueId val="{00000000-DF1E-4EE1-B11C-CC578A7D4F3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i="0" u="sng" baseline="0">
                <a:uFill>
                  <a:solidFill>
                    <a:schemeClr val="tx1"/>
                  </a:solidFill>
                </a:uFill>
              </a:rPr>
              <a:t>Years 1-10 Total Income Community Enterprises (BL1 +BL2 + Forest Enterprises (BL1)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FF0-4DE1-B716-1027900D202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FF0-4DE1-B716-1027900D202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FF0-4DE1-B716-1027900D202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FF0-4DE1-B716-1027900D202C}"/>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n-US"/>
              </a:p>
            </c:txPr>
            <c:showLegendKey val="1"/>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Sheet2!$A$31:$A$34</c:f>
              <c:strCache>
                <c:ptCount val="4"/>
                <c:pt idx="0">
                  <c:v>Sub total Community enterprises BL1</c:v>
                </c:pt>
                <c:pt idx="1">
                  <c:v>Sub total forest enterprises BL1</c:v>
                </c:pt>
                <c:pt idx="2">
                  <c:v>Sub total Community enterprises BL2</c:v>
                </c:pt>
                <c:pt idx="3">
                  <c:v>Sub total community enterprises BL3</c:v>
                </c:pt>
              </c:strCache>
            </c:strRef>
          </c:cat>
          <c:val>
            <c:numRef>
              <c:f>Sheet2!$B$31:$B$34</c:f>
              <c:numCache>
                <c:formatCode>"£"#,##0_);[Red]\("£"#,##0\)</c:formatCode>
                <c:ptCount val="4"/>
                <c:pt idx="0">
                  <c:v>167280.79999999999</c:v>
                </c:pt>
                <c:pt idx="1">
                  <c:v>1314203.9999999991</c:v>
                </c:pt>
                <c:pt idx="2">
                  <c:v>338700</c:v>
                </c:pt>
                <c:pt idx="3">
                  <c:v>0</c:v>
                </c:pt>
              </c:numCache>
            </c:numRef>
          </c:val>
          <c:extLst>
            <c:ext xmlns:c16="http://schemas.microsoft.com/office/drawing/2014/chart" uri="{C3380CC4-5D6E-409C-BE32-E72D297353CC}">
              <c16:uniqueId val="{00000000-8A60-44B6-955F-D96829CC4622}"/>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sng" strike="noStrike" kern="1200" baseline="0">
              <a:solidFill>
                <a:schemeClr val="tx1">
                  <a:lumMod val="65000"/>
                  <a:lumOff val="35000"/>
                </a:schemeClr>
              </a:solidFill>
              <a:uFill>
                <a:solidFill>
                  <a:schemeClr val="tx1"/>
                </a:solidFill>
              </a:u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sng" strike="noStrike" kern="1200" spc="0" baseline="0">
                <a:solidFill>
                  <a:sysClr val="windowText" lastClr="000000"/>
                </a:solidFill>
                <a:latin typeface="+mn-lt"/>
                <a:ea typeface="+mn-ea"/>
                <a:cs typeface="+mn-cs"/>
              </a:defRPr>
            </a:pPr>
            <a:r>
              <a:rPr lang="en-US" b="1" i="0" u="sng" baseline="0">
                <a:solidFill>
                  <a:sysClr val="windowText" lastClr="000000"/>
                </a:solidFill>
              </a:rPr>
              <a:t>Years 1 - 10  BL1 Income from Timber sales and Living Forest</a:t>
            </a:r>
          </a:p>
        </c:rich>
      </c:tx>
      <c:layout>
        <c:manualLayout>
          <c:xMode val="edge"/>
          <c:yMode val="edge"/>
          <c:x val="0.18183123926029099"/>
          <c:y val="5.9736351541811936E-2"/>
        </c:manualLayout>
      </c:layout>
      <c:overlay val="0"/>
      <c:spPr>
        <a:noFill/>
        <a:ln>
          <a:noFill/>
        </a:ln>
        <a:effectLst/>
      </c:spPr>
      <c:txPr>
        <a:bodyPr rot="0" spcFirstLastPara="1" vertOverflow="ellipsis" vert="horz" wrap="square" anchor="ctr" anchorCtr="1"/>
        <a:lstStyle/>
        <a:p>
          <a:pPr>
            <a:defRPr sz="1400" b="1" i="0" u="sng"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10171554289576215"/>
          <c:y val="0.12567546036209198"/>
          <c:w val="0.87545695848173111"/>
          <c:h val="0.7253521435867093"/>
        </c:manualLayout>
      </c:layout>
      <c:barChart>
        <c:barDir val="col"/>
        <c:grouping val="stacked"/>
        <c:varyColors val="0"/>
        <c:ser>
          <c:idx val="0"/>
          <c:order val="0"/>
          <c:tx>
            <c:strRef>
              <c:f>'WSWG Financial Projections&amp;P&amp;L'!$A$12</c:f>
              <c:strCache>
                <c:ptCount val="1"/>
                <c:pt idx="0">
                  <c:v>Woodland enterprises - Living Forest TW</c:v>
                </c:pt>
              </c:strCache>
            </c:strRef>
          </c:tx>
          <c:spPr>
            <a:solidFill>
              <a:schemeClr val="accent1"/>
            </a:solidFill>
            <a:ln>
              <a:noFill/>
            </a:ln>
            <a:effectLst/>
          </c:spPr>
          <c:invertIfNegative val="0"/>
          <c:val>
            <c:numRef>
              <c:f>'WSWG Financial Projections&amp;P&amp;L'!$B$12:$K$12</c:f>
              <c:numCache>
                <c:formatCode>"£"#,##0</c:formatCode>
                <c:ptCount val="10"/>
                <c:pt idx="0">
                  <c:v>10100</c:v>
                </c:pt>
                <c:pt idx="1">
                  <c:v>17100</c:v>
                </c:pt>
                <c:pt idx="2">
                  <c:v>22100</c:v>
                </c:pt>
                <c:pt idx="3">
                  <c:v>27800</c:v>
                </c:pt>
                <c:pt idx="4">
                  <c:v>33300</c:v>
                </c:pt>
                <c:pt idx="5">
                  <c:v>46250</c:v>
                </c:pt>
                <c:pt idx="6">
                  <c:v>55355</c:v>
                </c:pt>
                <c:pt idx="7">
                  <c:v>59990</c:v>
                </c:pt>
                <c:pt idx="8">
                  <c:v>67900</c:v>
                </c:pt>
                <c:pt idx="9">
                  <c:v>74810</c:v>
                </c:pt>
              </c:numCache>
            </c:numRef>
          </c:val>
          <c:extLst>
            <c:ext xmlns:c16="http://schemas.microsoft.com/office/drawing/2014/chart" uri="{C3380CC4-5D6E-409C-BE32-E72D297353CC}">
              <c16:uniqueId val="{00000000-6572-40D2-AFFE-07DA657F2B05}"/>
            </c:ext>
          </c:extLst>
        </c:ser>
        <c:ser>
          <c:idx val="1"/>
          <c:order val="1"/>
          <c:tx>
            <c:strRef>
              <c:f>'WSWG Financial Projections&amp;P&amp;L'!$A$13</c:f>
              <c:strCache>
                <c:ptCount val="1"/>
                <c:pt idx="0">
                  <c:v>Woodland enterprises Timber TW</c:v>
                </c:pt>
              </c:strCache>
            </c:strRef>
          </c:tx>
          <c:spPr>
            <a:solidFill>
              <a:schemeClr val="accent2"/>
            </a:solidFill>
            <a:ln>
              <a:noFill/>
            </a:ln>
            <a:effectLst/>
          </c:spPr>
          <c:invertIfNegative val="0"/>
          <c:val>
            <c:numRef>
              <c:f>'WSWG Financial Projections&amp;P&amp;L'!$B$13:$K$13</c:f>
              <c:numCache>
                <c:formatCode>"£"#,##0</c:formatCode>
                <c:ptCount val="10"/>
                <c:pt idx="0">
                  <c:v>124540.33333333299</c:v>
                </c:pt>
                <c:pt idx="1">
                  <c:v>122570.33333333299</c:v>
                </c:pt>
                <c:pt idx="2">
                  <c:v>122570.33333333299</c:v>
                </c:pt>
                <c:pt idx="3">
                  <c:v>0</c:v>
                </c:pt>
                <c:pt idx="4">
                  <c:v>0</c:v>
                </c:pt>
                <c:pt idx="5">
                  <c:v>97722</c:v>
                </c:pt>
                <c:pt idx="6">
                  <c:v>450</c:v>
                </c:pt>
                <c:pt idx="7">
                  <c:v>450</c:v>
                </c:pt>
                <c:pt idx="8">
                  <c:v>450</c:v>
                </c:pt>
                <c:pt idx="9">
                  <c:v>450</c:v>
                </c:pt>
              </c:numCache>
            </c:numRef>
          </c:val>
          <c:extLst>
            <c:ext xmlns:c16="http://schemas.microsoft.com/office/drawing/2014/chart" uri="{C3380CC4-5D6E-409C-BE32-E72D297353CC}">
              <c16:uniqueId val="{00000001-6572-40D2-AFFE-07DA657F2B05}"/>
            </c:ext>
          </c:extLst>
        </c:ser>
        <c:ser>
          <c:idx val="2"/>
          <c:order val="2"/>
          <c:tx>
            <c:strRef>
              <c:f>'WSWG Financial Projections&amp;P&amp;L'!$A$14</c:f>
              <c:strCache>
                <c:ptCount val="1"/>
                <c:pt idx="0">
                  <c:v>Woodland enterprises - Living Forest FMW</c:v>
                </c:pt>
              </c:strCache>
            </c:strRef>
          </c:tx>
          <c:spPr>
            <a:solidFill>
              <a:schemeClr val="accent3"/>
            </a:solidFill>
            <a:ln>
              <a:noFill/>
            </a:ln>
            <a:effectLst/>
          </c:spPr>
          <c:invertIfNegative val="0"/>
          <c:val>
            <c:numRef>
              <c:f>'WSWG Financial Projections&amp;P&amp;L'!$B$14:$K$14</c:f>
              <c:numCache>
                <c:formatCode>"£"#,##0</c:formatCode>
                <c:ptCount val="10"/>
                <c:pt idx="0">
                  <c:v>10100</c:v>
                </c:pt>
                <c:pt idx="1">
                  <c:v>15420</c:v>
                </c:pt>
                <c:pt idx="2">
                  <c:v>20420</c:v>
                </c:pt>
                <c:pt idx="3">
                  <c:v>25420</c:v>
                </c:pt>
                <c:pt idx="4">
                  <c:v>30420</c:v>
                </c:pt>
                <c:pt idx="5">
                  <c:v>35420</c:v>
                </c:pt>
                <c:pt idx="6">
                  <c:v>40100</c:v>
                </c:pt>
                <c:pt idx="7">
                  <c:v>40100</c:v>
                </c:pt>
                <c:pt idx="8">
                  <c:v>40100</c:v>
                </c:pt>
                <c:pt idx="9">
                  <c:v>40100</c:v>
                </c:pt>
              </c:numCache>
            </c:numRef>
          </c:val>
          <c:extLst>
            <c:ext xmlns:c16="http://schemas.microsoft.com/office/drawing/2014/chart" uri="{C3380CC4-5D6E-409C-BE32-E72D297353CC}">
              <c16:uniqueId val="{00000002-6572-40D2-AFFE-07DA657F2B05}"/>
            </c:ext>
          </c:extLst>
        </c:ser>
        <c:ser>
          <c:idx val="3"/>
          <c:order val="3"/>
          <c:tx>
            <c:strRef>
              <c:f>'WSWG Financial Projections&amp;P&amp;L'!$A$15</c:f>
              <c:strCache>
                <c:ptCount val="1"/>
                <c:pt idx="0">
                  <c:v>Woodland enterprises - Timber FMW</c:v>
                </c:pt>
              </c:strCache>
            </c:strRef>
          </c:tx>
          <c:spPr>
            <a:solidFill>
              <a:schemeClr val="accent4"/>
            </a:solidFill>
            <a:ln>
              <a:noFill/>
            </a:ln>
            <a:effectLst/>
          </c:spPr>
          <c:invertIfNegative val="0"/>
          <c:val>
            <c:numRef>
              <c:f>'WSWG Financial Projections&amp;P&amp;L'!$B$15:$K$15</c:f>
              <c:numCache>
                <c:formatCode>"£"#,##0</c:formatCode>
                <c:ptCount val="10"/>
                <c:pt idx="0">
                  <c:v>114746</c:v>
                </c:pt>
                <c:pt idx="1">
                  <c:v>0</c:v>
                </c:pt>
                <c:pt idx="2">
                  <c:v>0</c:v>
                </c:pt>
                <c:pt idx="3">
                  <c:v>0</c:v>
                </c:pt>
                <c:pt idx="4">
                  <c:v>0</c:v>
                </c:pt>
                <c:pt idx="5">
                  <c:v>17950</c:v>
                </c:pt>
                <c:pt idx="6">
                  <c:v>0</c:v>
                </c:pt>
                <c:pt idx="7">
                  <c:v>0</c:v>
                </c:pt>
                <c:pt idx="8">
                  <c:v>0</c:v>
                </c:pt>
                <c:pt idx="9">
                  <c:v>0</c:v>
                </c:pt>
              </c:numCache>
            </c:numRef>
          </c:val>
          <c:extLst>
            <c:ext xmlns:c16="http://schemas.microsoft.com/office/drawing/2014/chart" uri="{C3380CC4-5D6E-409C-BE32-E72D297353CC}">
              <c16:uniqueId val="{00000003-6572-40D2-AFFE-07DA657F2B05}"/>
            </c:ext>
          </c:extLst>
        </c:ser>
        <c:dLbls>
          <c:showLegendKey val="0"/>
          <c:showVal val="0"/>
          <c:showCatName val="0"/>
          <c:showSerName val="0"/>
          <c:showPercent val="0"/>
          <c:showBubbleSize val="0"/>
        </c:dLbls>
        <c:gapWidth val="150"/>
        <c:overlap val="100"/>
        <c:axId val="993125056"/>
        <c:axId val="993119232"/>
      </c:barChart>
      <c:catAx>
        <c:axId val="993125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3119232"/>
        <c:crosses val="autoZero"/>
        <c:auto val="1"/>
        <c:lblAlgn val="ctr"/>
        <c:lblOffset val="100"/>
        <c:noMultiLvlLbl val="0"/>
      </c:catAx>
      <c:valAx>
        <c:axId val="99311923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31250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i="0" u="sng" baseline="0">
                <a:solidFill>
                  <a:sysClr val="windowText" lastClr="000000"/>
                </a:solidFill>
              </a:rPr>
              <a:t>Years 1 -10 BL2 Income from Camp 53 Cafe,Shop, Exhibition space and Meeting Room </a:t>
            </a:r>
          </a:p>
        </c:rich>
      </c:tx>
      <c:layout>
        <c:manualLayout>
          <c:xMode val="edge"/>
          <c:yMode val="edge"/>
          <c:x val="0.12533956099351337"/>
          <c:y val="2.996254681647940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6338326692104256E-2"/>
          <c:y val="0.15411199137080714"/>
          <c:w val="0.88722379543519858"/>
          <c:h val="0.71483482961554756"/>
        </c:manualLayout>
      </c:layout>
      <c:barChart>
        <c:barDir val="col"/>
        <c:grouping val="clustered"/>
        <c:varyColors val="0"/>
        <c:ser>
          <c:idx val="0"/>
          <c:order val="0"/>
          <c:tx>
            <c:strRef>
              <c:f>'WSWG Financial Projections&amp;P&amp;L'!$A$19</c:f>
              <c:strCache>
                <c:ptCount val="1"/>
                <c:pt idx="0">
                  <c:v>Camp 53 Café</c:v>
                </c:pt>
              </c:strCache>
            </c:strRef>
          </c:tx>
          <c:spPr>
            <a:solidFill>
              <a:schemeClr val="accent1"/>
            </a:solidFill>
            <a:ln>
              <a:noFill/>
            </a:ln>
            <a:effectLst/>
          </c:spPr>
          <c:invertIfNegative val="0"/>
          <c:val>
            <c:numRef>
              <c:f>'WSWG Financial Projections&amp;P&amp;L'!$B$19:$K$19</c:f>
              <c:numCache>
                <c:formatCode>"£"#,##0</c:formatCode>
                <c:ptCount val="10"/>
                <c:pt idx="5">
                  <c:v>30000</c:v>
                </c:pt>
                <c:pt idx="6">
                  <c:v>45000</c:v>
                </c:pt>
                <c:pt idx="7">
                  <c:v>45000</c:v>
                </c:pt>
                <c:pt idx="8">
                  <c:v>60000</c:v>
                </c:pt>
                <c:pt idx="9">
                  <c:v>60000</c:v>
                </c:pt>
              </c:numCache>
            </c:numRef>
          </c:val>
          <c:extLst>
            <c:ext xmlns:c16="http://schemas.microsoft.com/office/drawing/2014/chart" uri="{C3380CC4-5D6E-409C-BE32-E72D297353CC}">
              <c16:uniqueId val="{00000000-5F79-4FB9-9CA5-8FA42C405685}"/>
            </c:ext>
          </c:extLst>
        </c:ser>
        <c:ser>
          <c:idx val="1"/>
          <c:order val="1"/>
          <c:tx>
            <c:strRef>
              <c:f>'WSWG Financial Projections&amp;P&amp;L'!$A$20</c:f>
              <c:strCache>
                <c:ptCount val="1"/>
                <c:pt idx="0">
                  <c:v>Camp 53 Shop</c:v>
                </c:pt>
              </c:strCache>
            </c:strRef>
          </c:tx>
          <c:spPr>
            <a:solidFill>
              <a:schemeClr val="accent2"/>
            </a:solidFill>
            <a:ln>
              <a:noFill/>
            </a:ln>
            <a:effectLst/>
          </c:spPr>
          <c:invertIfNegative val="0"/>
          <c:val>
            <c:numRef>
              <c:f>'WSWG Financial Projections&amp;P&amp;L'!$B$20:$K$20</c:f>
              <c:numCache>
                <c:formatCode>"£"#,##0</c:formatCode>
                <c:ptCount val="10"/>
                <c:pt idx="5">
                  <c:v>5000</c:v>
                </c:pt>
                <c:pt idx="6">
                  <c:v>7500</c:v>
                </c:pt>
                <c:pt idx="7">
                  <c:v>10000</c:v>
                </c:pt>
                <c:pt idx="8">
                  <c:v>12500</c:v>
                </c:pt>
                <c:pt idx="9">
                  <c:v>15000</c:v>
                </c:pt>
              </c:numCache>
            </c:numRef>
          </c:val>
          <c:extLst>
            <c:ext xmlns:c16="http://schemas.microsoft.com/office/drawing/2014/chart" uri="{C3380CC4-5D6E-409C-BE32-E72D297353CC}">
              <c16:uniqueId val="{00000001-5F79-4FB9-9CA5-8FA42C405685}"/>
            </c:ext>
          </c:extLst>
        </c:ser>
        <c:ser>
          <c:idx val="2"/>
          <c:order val="2"/>
          <c:tx>
            <c:strRef>
              <c:f>'WSWG Financial Projections&amp;P&amp;L'!$A$21</c:f>
              <c:strCache>
                <c:ptCount val="1"/>
                <c:pt idx="0">
                  <c:v>Camp 53 Exhibition Space</c:v>
                </c:pt>
              </c:strCache>
            </c:strRef>
          </c:tx>
          <c:spPr>
            <a:solidFill>
              <a:schemeClr val="accent3"/>
            </a:solidFill>
            <a:ln>
              <a:noFill/>
            </a:ln>
            <a:effectLst/>
          </c:spPr>
          <c:invertIfNegative val="0"/>
          <c:val>
            <c:numRef>
              <c:f>'WSWG Financial Projections&amp;P&amp;L'!$B$21:$K$21</c:f>
              <c:numCache>
                <c:formatCode>"£"#,##0</c:formatCode>
                <c:ptCount val="10"/>
                <c:pt idx="5">
                  <c:v>200</c:v>
                </c:pt>
                <c:pt idx="6">
                  <c:v>1000</c:v>
                </c:pt>
                <c:pt idx="7">
                  <c:v>2000</c:v>
                </c:pt>
                <c:pt idx="8">
                  <c:v>3000</c:v>
                </c:pt>
                <c:pt idx="9">
                  <c:v>4000</c:v>
                </c:pt>
              </c:numCache>
            </c:numRef>
          </c:val>
          <c:extLst>
            <c:ext xmlns:c16="http://schemas.microsoft.com/office/drawing/2014/chart" uri="{C3380CC4-5D6E-409C-BE32-E72D297353CC}">
              <c16:uniqueId val="{00000002-5F79-4FB9-9CA5-8FA42C405685}"/>
            </c:ext>
          </c:extLst>
        </c:ser>
        <c:ser>
          <c:idx val="3"/>
          <c:order val="3"/>
          <c:tx>
            <c:strRef>
              <c:f>'WSWG Financial Projections&amp;P&amp;L'!$A$22</c:f>
              <c:strCache>
                <c:ptCount val="1"/>
                <c:pt idx="0">
                  <c:v>Camp 53 Meeting Room</c:v>
                </c:pt>
              </c:strCache>
            </c:strRef>
          </c:tx>
          <c:spPr>
            <a:solidFill>
              <a:schemeClr val="accent4"/>
            </a:solidFill>
            <a:ln>
              <a:noFill/>
            </a:ln>
            <a:effectLst/>
          </c:spPr>
          <c:invertIfNegative val="0"/>
          <c:val>
            <c:numRef>
              <c:f>'WSWG Financial Projections&amp;P&amp;L'!$B$22:$K$22</c:f>
              <c:numCache>
                <c:formatCode>"£"#,##0</c:formatCode>
                <c:ptCount val="10"/>
                <c:pt idx="5">
                  <c:v>4500</c:v>
                </c:pt>
                <c:pt idx="6">
                  <c:v>7250</c:v>
                </c:pt>
                <c:pt idx="7">
                  <c:v>7250</c:v>
                </c:pt>
                <c:pt idx="8">
                  <c:v>9750</c:v>
                </c:pt>
                <c:pt idx="9">
                  <c:v>9750</c:v>
                </c:pt>
              </c:numCache>
            </c:numRef>
          </c:val>
          <c:extLst>
            <c:ext xmlns:c16="http://schemas.microsoft.com/office/drawing/2014/chart" uri="{C3380CC4-5D6E-409C-BE32-E72D297353CC}">
              <c16:uniqueId val="{00000003-5F79-4FB9-9CA5-8FA42C405685}"/>
            </c:ext>
          </c:extLst>
        </c:ser>
        <c:dLbls>
          <c:showLegendKey val="0"/>
          <c:showVal val="0"/>
          <c:showCatName val="0"/>
          <c:showSerName val="0"/>
          <c:showPercent val="0"/>
          <c:showBubbleSize val="0"/>
        </c:dLbls>
        <c:gapWidth val="219"/>
        <c:overlap val="-27"/>
        <c:axId val="1299628464"/>
        <c:axId val="1299629296"/>
      </c:barChart>
      <c:catAx>
        <c:axId val="1299628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99629296"/>
        <c:crosses val="autoZero"/>
        <c:auto val="1"/>
        <c:lblAlgn val="ctr"/>
        <c:lblOffset val="100"/>
        <c:noMultiLvlLbl val="0"/>
      </c:catAx>
      <c:valAx>
        <c:axId val="129962929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996284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u="sng"/>
              <a:t>Years 1</a:t>
            </a:r>
            <a:r>
              <a:rPr lang="en-US" b="1" u="sng" baseline="0"/>
              <a:t> -10 BL1 Total Income from Timber sales and Living Forest for both woods</a:t>
            </a:r>
            <a:endParaRPr lang="en-US" b="1" u="sng"/>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dLbls>
          <c:showLegendKey val="0"/>
          <c:showVal val="0"/>
          <c:showCatName val="0"/>
          <c:showSerName val="0"/>
          <c:showPercent val="0"/>
          <c:showBubbleSize val="0"/>
          <c:showLeaderLines val="0"/>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dLbls>
          <c:showLegendKey val="0"/>
          <c:showVal val="0"/>
          <c:showCatName val="0"/>
          <c:showSerName val="0"/>
          <c:showPercent val="0"/>
          <c:showBubbleSize val="0"/>
          <c:showLeaderLines val="0"/>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200" b="1" i="0" u="sng" strike="noStrike" kern="1200" baseline="0">
              <a:solidFill>
                <a:schemeClr val="tx1">
                  <a:lumMod val="65000"/>
                  <a:lumOff val="35000"/>
                </a:schemeClr>
              </a:solidFill>
              <a:uFillTx/>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sng" strike="noStrike" kern="1200" spc="0" baseline="0">
                <a:solidFill>
                  <a:schemeClr val="tx1">
                    <a:lumMod val="65000"/>
                    <a:lumOff val="35000"/>
                  </a:schemeClr>
                </a:solidFill>
                <a:uFill>
                  <a:solidFill>
                    <a:schemeClr val="tx1"/>
                  </a:solidFill>
                </a:uFill>
                <a:latin typeface="+mn-lt"/>
                <a:ea typeface="+mn-ea"/>
                <a:cs typeface="+mn-cs"/>
              </a:defRPr>
            </a:pPr>
            <a:r>
              <a:rPr lang="en-GB" b="1" i="0" u="sng" baseline="0">
                <a:uFill>
                  <a:solidFill>
                    <a:schemeClr val="tx1"/>
                  </a:solidFill>
                </a:uFill>
              </a:rPr>
              <a:t>Years 1-10 Total Income Community Enterprises (BL1+ BL2 + BL3) + Forest Enterprises (BL1) </a:t>
            </a:r>
          </a:p>
        </c:rich>
      </c:tx>
      <c:layout>
        <c:manualLayout>
          <c:xMode val="edge"/>
          <c:yMode val="edge"/>
          <c:x val="9.5922809665414943E-2"/>
          <c:y val="4.7842552310880047E-2"/>
        </c:manualLayout>
      </c:layout>
      <c:overlay val="0"/>
      <c:spPr>
        <a:noFill/>
        <a:ln>
          <a:noFill/>
        </a:ln>
        <a:effectLst/>
      </c:spPr>
      <c:txPr>
        <a:bodyPr rot="0" spcFirstLastPara="1" vertOverflow="ellipsis" vert="horz" wrap="square" anchor="ctr" anchorCtr="1"/>
        <a:lstStyle/>
        <a:p>
          <a:pPr>
            <a:defRPr sz="1400" b="1" i="0" u="sng" strike="noStrike" kern="1200" spc="0" baseline="0">
              <a:solidFill>
                <a:schemeClr val="tx1">
                  <a:lumMod val="65000"/>
                  <a:lumOff val="35000"/>
                </a:schemeClr>
              </a:solidFill>
              <a:uFill>
                <a:solidFill>
                  <a:schemeClr val="tx1"/>
                </a:solidFill>
              </a:uFill>
              <a:latin typeface="+mn-lt"/>
              <a:ea typeface="+mn-ea"/>
              <a:cs typeface="+mn-cs"/>
            </a:defRPr>
          </a:pPr>
          <a:endParaRPr lang="en-US"/>
        </a:p>
      </c:txPr>
    </c:title>
    <c:autoTitleDeleted val="0"/>
    <c:plotArea>
      <c:layout/>
      <c:pieChart>
        <c:varyColors val="1"/>
        <c:dLbls>
          <c:showLegendKey val="0"/>
          <c:showVal val="0"/>
          <c:showCatName val="0"/>
          <c:showSerName val="0"/>
          <c:showPercent val="0"/>
          <c:showBubbleSize val="0"/>
          <c:showLeaderLines val="0"/>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200" b="1" i="0" u="sng" strike="noStrike" kern="1200" baseline="0">
              <a:solidFill>
                <a:schemeClr val="tx1">
                  <a:lumMod val="65000"/>
                  <a:lumOff val="35000"/>
                </a:schemeClr>
              </a:solidFill>
              <a:uFill>
                <a:solidFill>
                  <a:schemeClr val="tx1"/>
                </a:solidFill>
              </a:u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sng" strike="noStrike" kern="1200" spc="0" baseline="0">
                <a:solidFill>
                  <a:sysClr val="windowText" lastClr="000000"/>
                </a:solidFill>
                <a:latin typeface="+mn-lt"/>
                <a:ea typeface="+mn-ea"/>
                <a:cs typeface="+mn-cs"/>
              </a:defRPr>
            </a:pPr>
            <a:r>
              <a:rPr lang="en-GB" b="1" i="0" u="sng" baseline="0">
                <a:solidFill>
                  <a:sysClr val="windowText" lastClr="000000"/>
                </a:solidFill>
              </a:rPr>
              <a:t>Gross Trading Margin BL1 Y1-10   Loggers Shieling &amp; Artists Bothy </a:t>
            </a:r>
          </a:p>
        </c:rich>
      </c:tx>
      <c:layout>
        <c:manualLayout>
          <c:xMode val="edge"/>
          <c:yMode val="edge"/>
          <c:x val="0.13213888888888889"/>
          <c:y val="0"/>
        </c:manualLayout>
      </c:layout>
      <c:overlay val="0"/>
      <c:spPr>
        <a:noFill/>
        <a:ln>
          <a:noFill/>
        </a:ln>
        <a:effectLst/>
      </c:spPr>
      <c:txPr>
        <a:bodyPr rot="0" spcFirstLastPara="1" vertOverflow="ellipsis" vert="horz" wrap="square" anchor="ctr" anchorCtr="1"/>
        <a:lstStyle/>
        <a:p>
          <a:pPr>
            <a:defRPr sz="1400" b="1" i="0" u="sng"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'WSWG Financial Projections&amp;P&amp;L'!$A$59</c:f>
              <c:strCache>
                <c:ptCount val="1"/>
                <c:pt idx="0">
                  <c:v>Logger's Shieling</c:v>
                </c:pt>
              </c:strCache>
            </c:strRef>
          </c:tx>
          <c:spPr>
            <a:solidFill>
              <a:schemeClr val="accent1"/>
            </a:solidFill>
            <a:ln>
              <a:noFill/>
            </a:ln>
            <a:effectLst/>
          </c:spPr>
          <c:invertIfNegative val="0"/>
          <c:val>
            <c:numRef>
              <c:f>'WSWG Financial Projections&amp;P&amp;L'!$B$59:$K$59</c:f>
              <c:numCache>
                <c:formatCode>"£"#,##0</c:formatCode>
                <c:ptCount val="10"/>
                <c:pt idx="0">
                  <c:v>782</c:v>
                </c:pt>
                <c:pt idx="1">
                  <c:v>3320</c:v>
                </c:pt>
                <c:pt idx="2">
                  <c:v>4166</c:v>
                </c:pt>
                <c:pt idx="3">
                  <c:v>5012</c:v>
                </c:pt>
                <c:pt idx="4">
                  <c:v>5858</c:v>
                </c:pt>
                <c:pt idx="5">
                  <c:v>6704</c:v>
                </c:pt>
                <c:pt idx="6">
                  <c:v>7550</c:v>
                </c:pt>
                <c:pt idx="7">
                  <c:v>7550</c:v>
                </c:pt>
                <c:pt idx="8">
                  <c:v>7550</c:v>
                </c:pt>
                <c:pt idx="9">
                  <c:v>7550</c:v>
                </c:pt>
              </c:numCache>
            </c:numRef>
          </c:val>
          <c:extLst>
            <c:ext xmlns:c16="http://schemas.microsoft.com/office/drawing/2014/chart" uri="{C3380CC4-5D6E-409C-BE32-E72D297353CC}">
              <c16:uniqueId val="{00000000-8D2F-4D58-A05C-BBD73799FA58}"/>
            </c:ext>
          </c:extLst>
        </c:ser>
        <c:ser>
          <c:idx val="1"/>
          <c:order val="1"/>
          <c:tx>
            <c:strRef>
              <c:f>'WSWG Financial Projections&amp;P&amp;L'!$A$60</c:f>
              <c:strCache>
                <c:ptCount val="1"/>
                <c:pt idx="0">
                  <c:v>Artists' Bothy</c:v>
                </c:pt>
              </c:strCache>
            </c:strRef>
          </c:tx>
          <c:spPr>
            <a:solidFill>
              <a:schemeClr val="accent2"/>
            </a:solidFill>
            <a:ln>
              <a:noFill/>
            </a:ln>
            <a:effectLst/>
          </c:spPr>
          <c:invertIfNegative val="0"/>
          <c:val>
            <c:numRef>
              <c:f>'WSWG Financial Projections&amp;P&amp;L'!$B$60:$K$60</c:f>
              <c:numCache>
                <c:formatCode>"£"#,##0</c:formatCode>
                <c:ptCount val="10"/>
                <c:pt idx="1">
                  <c:v>3132</c:v>
                </c:pt>
                <c:pt idx="2">
                  <c:v>4980.8</c:v>
                </c:pt>
                <c:pt idx="3">
                  <c:v>8922</c:v>
                </c:pt>
                <c:pt idx="4">
                  <c:v>7932</c:v>
                </c:pt>
                <c:pt idx="5">
                  <c:v>8922</c:v>
                </c:pt>
                <c:pt idx="6">
                  <c:v>8622</c:v>
                </c:pt>
                <c:pt idx="7">
                  <c:v>7932</c:v>
                </c:pt>
                <c:pt idx="8">
                  <c:v>8922</c:v>
                </c:pt>
                <c:pt idx="9">
                  <c:v>8922</c:v>
                </c:pt>
              </c:numCache>
            </c:numRef>
          </c:val>
          <c:extLst>
            <c:ext xmlns:c16="http://schemas.microsoft.com/office/drawing/2014/chart" uri="{C3380CC4-5D6E-409C-BE32-E72D297353CC}">
              <c16:uniqueId val="{00000001-8D2F-4D58-A05C-BBD73799FA58}"/>
            </c:ext>
          </c:extLst>
        </c:ser>
        <c:dLbls>
          <c:showLegendKey val="0"/>
          <c:showVal val="0"/>
          <c:showCatName val="0"/>
          <c:showSerName val="0"/>
          <c:showPercent val="0"/>
          <c:showBubbleSize val="0"/>
        </c:dLbls>
        <c:gapWidth val="219"/>
        <c:overlap val="-27"/>
        <c:axId val="665716128"/>
        <c:axId val="665714464"/>
      </c:barChart>
      <c:catAx>
        <c:axId val="665716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5714464"/>
        <c:crosses val="autoZero"/>
        <c:auto val="1"/>
        <c:lblAlgn val="ctr"/>
        <c:lblOffset val="100"/>
        <c:noMultiLvlLbl val="0"/>
      </c:catAx>
      <c:valAx>
        <c:axId val="66571446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57161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sng" strike="noStrike" kern="1200" spc="0" baseline="0">
                <a:solidFill>
                  <a:schemeClr val="tx1"/>
                </a:solidFill>
                <a:latin typeface="+mn-lt"/>
                <a:ea typeface="+mn-ea"/>
                <a:cs typeface="+mn-cs"/>
              </a:defRPr>
            </a:pPr>
            <a:r>
              <a:rPr lang="en-GB" b="1" i="0" u="sng" baseline="0">
                <a:solidFill>
                  <a:schemeClr val="tx1"/>
                </a:solidFill>
              </a:rPr>
              <a:t>Gross Trading Margin BL1 Y1-10 Woodland Enterprises</a:t>
            </a:r>
          </a:p>
        </c:rich>
      </c:tx>
      <c:overlay val="0"/>
      <c:spPr>
        <a:noFill/>
        <a:ln>
          <a:noFill/>
        </a:ln>
        <a:effectLst/>
      </c:spPr>
      <c:txPr>
        <a:bodyPr rot="0" spcFirstLastPara="1" vertOverflow="ellipsis" vert="horz" wrap="square" anchor="ctr" anchorCtr="1"/>
        <a:lstStyle/>
        <a:p>
          <a:pPr>
            <a:defRPr sz="1400" b="1" i="0" u="sng"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6670603674540682"/>
          <c:y val="0.17171296296296298"/>
          <c:w val="0.83329396325459315"/>
          <c:h val="0.44402559055118113"/>
        </c:manualLayout>
      </c:layout>
      <c:barChart>
        <c:barDir val="col"/>
        <c:grouping val="stacked"/>
        <c:varyColors val="0"/>
        <c:ser>
          <c:idx val="0"/>
          <c:order val="0"/>
          <c:tx>
            <c:strRef>
              <c:f>'WSWG Financial Projections&amp;P&amp;L'!$A$63</c:f>
              <c:strCache>
                <c:ptCount val="1"/>
                <c:pt idx="0">
                  <c:v>Woodland enterprises - Living Forest TW</c:v>
                </c:pt>
              </c:strCache>
            </c:strRef>
          </c:tx>
          <c:spPr>
            <a:solidFill>
              <a:schemeClr val="accent1"/>
            </a:solidFill>
            <a:ln>
              <a:noFill/>
            </a:ln>
            <a:effectLst/>
          </c:spPr>
          <c:invertIfNegative val="0"/>
          <c:val>
            <c:numRef>
              <c:f>'WSWG Financial Projections&amp;P&amp;L'!$B$63:$K$63</c:f>
              <c:numCache>
                <c:formatCode>"£"#,##0</c:formatCode>
                <c:ptCount val="10"/>
                <c:pt idx="0">
                  <c:v>7290</c:v>
                </c:pt>
                <c:pt idx="1">
                  <c:v>1745</c:v>
                </c:pt>
                <c:pt idx="2">
                  <c:v>18030</c:v>
                </c:pt>
                <c:pt idx="3">
                  <c:v>20240</c:v>
                </c:pt>
                <c:pt idx="4">
                  <c:v>27190</c:v>
                </c:pt>
                <c:pt idx="5">
                  <c:v>39115</c:v>
                </c:pt>
                <c:pt idx="6">
                  <c:v>46507</c:v>
                </c:pt>
                <c:pt idx="7">
                  <c:v>50030</c:v>
                </c:pt>
                <c:pt idx="8">
                  <c:v>56740</c:v>
                </c:pt>
                <c:pt idx="9">
                  <c:v>62450</c:v>
                </c:pt>
              </c:numCache>
            </c:numRef>
          </c:val>
          <c:extLst>
            <c:ext xmlns:c16="http://schemas.microsoft.com/office/drawing/2014/chart" uri="{C3380CC4-5D6E-409C-BE32-E72D297353CC}">
              <c16:uniqueId val="{00000000-D8C1-47AE-864C-C84ADCBE2AB6}"/>
            </c:ext>
          </c:extLst>
        </c:ser>
        <c:ser>
          <c:idx val="1"/>
          <c:order val="1"/>
          <c:tx>
            <c:strRef>
              <c:f>'WSWG Financial Projections&amp;P&amp;L'!$A$64</c:f>
              <c:strCache>
                <c:ptCount val="1"/>
                <c:pt idx="0">
                  <c:v>Woodland enterprises Timber TW</c:v>
                </c:pt>
              </c:strCache>
            </c:strRef>
          </c:tx>
          <c:spPr>
            <a:solidFill>
              <a:schemeClr val="accent2"/>
            </a:solidFill>
            <a:ln>
              <a:noFill/>
            </a:ln>
            <a:effectLst/>
          </c:spPr>
          <c:invertIfNegative val="0"/>
          <c:val>
            <c:numRef>
              <c:f>'WSWG Financial Projections&amp;P&amp;L'!$B$64:$K$64</c:f>
              <c:numCache>
                <c:formatCode>"£"#,##0</c:formatCode>
                <c:ptCount val="10"/>
                <c:pt idx="0">
                  <c:v>114420.33333333299</c:v>
                </c:pt>
                <c:pt idx="1">
                  <c:v>122470.33333333299</c:v>
                </c:pt>
                <c:pt idx="2">
                  <c:v>122470.33333333299</c:v>
                </c:pt>
                <c:pt idx="3">
                  <c:v>-100</c:v>
                </c:pt>
                <c:pt idx="4">
                  <c:v>-100</c:v>
                </c:pt>
                <c:pt idx="5">
                  <c:v>96677</c:v>
                </c:pt>
                <c:pt idx="6">
                  <c:v>305</c:v>
                </c:pt>
                <c:pt idx="7">
                  <c:v>305</c:v>
                </c:pt>
                <c:pt idx="8">
                  <c:v>305</c:v>
                </c:pt>
                <c:pt idx="9">
                  <c:v>305</c:v>
                </c:pt>
              </c:numCache>
            </c:numRef>
          </c:val>
          <c:extLst>
            <c:ext xmlns:c16="http://schemas.microsoft.com/office/drawing/2014/chart" uri="{C3380CC4-5D6E-409C-BE32-E72D297353CC}">
              <c16:uniqueId val="{00000001-D8C1-47AE-864C-C84ADCBE2AB6}"/>
            </c:ext>
          </c:extLst>
        </c:ser>
        <c:ser>
          <c:idx val="2"/>
          <c:order val="2"/>
          <c:tx>
            <c:strRef>
              <c:f>'WSWG Financial Projections&amp;P&amp;L'!$A$65</c:f>
              <c:strCache>
                <c:ptCount val="1"/>
                <c:pt idx="0">
                  <c:v>Woodland enterprises - Living Forest FMW</c:v>
                </c:pt>
              </c:strCache>
            </c:strRef>
          </c:tx>
          <c:spPr>
            <a:solidFill>
              <a:schemeClr val="accent3"/>
            </a:solidFill>
            <a:ln>
              <a:noFill/>
            </a:ln>
            <a:effectLst/>
          </c:spPr>
          <c:invertIfNegative val="0"/>
          <c:val>
            <c:numRef>
              <c:f>'WSWG Financial Projections&amp;P&amp;L'!$B$65:$K$65</c:f>
              <c:numCache>
                <c:formatCode>"£"#,##0</c:formatCode>
                <c:ptCount val="10"/>
                <c:pt idx="0">
                  <c:v>9390</c:v>
                </c:pt>
                <c:pt idx="1">
                  <c:v>14178</c:v>
                </c:pt>
                <c:pt idx="2">
                  <c:v>18678</c:v>
                </c:pt>
                <c:pt idx="3">
                  <c:v>19678</c:v>
                </c:pt>
                <c:pt idx="4">
                  <c:v>27578</c:v>
                </c:pt>
                <c:pt idx="5">
                  <c:v>32078</c:v>
                </c:pt>
                <c:pt idx="6">
                  <c:v>36290</c:v>
                </c:pt>
                <c:pt idx="7">
                  <c:v>36390</c:v>
                </c:pt>
                <c:pt idx="8">
                  <c:v>36390</c:v>
                </c:pt>
                <c:pt idx="9">
                  <c:v>36390</c:v>
                </c:pt>
              </c:numCache>
            </c:numRef>
          </c:val>
          <c:extLst>
            <c:ext xmlns:c16="http://schemas.microsoft.com/office/drawing/2014/chart" uri="{C3380CC4-5D6E-409C-BE32-E72D297353CC}">
              <c16:uniqueId val="{00000002-D8C1-47AE-864C-C84ADCBE2AB6}"/>
            </c:ext>
          </c:extLst>
        </c:ser>
        <c:ser>
          <c:idx val="3"/>
          <c:order val="3"/>
          <c:tx>
            <c:strRef>
              <c:f>'WSWG Financial Projections&amp;P&amp;L'!$A$66</c:f>
              <c:strCache>
                <c:ptCount val="1"/>
                <c:pt idx="0">
                  <c:v>Woodland enterprises - Timber FMW</c:v>
                </c:pt>
              </c:strCache>
            </c:strRef>
          </c:tx>
          <c:spPr>
            <a:solidFill>
              <a:schemeClr val="accent4"/>
            </a:solidFill>
            <a:ln>
              <a:noFill/>
            </a:ln>
            <a:effectLst/>
          </c:spPr>
          <c:invertIfNegative val="0"/>
          <c:val>
            <c:numRef>
              <c:f>'WSWG Financial Projections&amp;P&amp;L'!$B$66:$J$66</c:f>
              <c:numCache>
                <c:formatCode>"£"#,##0</c:formatCode>
                <c:ptCount val="9"/>
                <c:pt idx="0">
                  <c:v>110246</c:v>
                </c:pt>
                <c:pt idx="1">
                  <c:v>-200</c:v>
                </c:pt>
                <c:pt idx="2">
                  <c:v>-200</c:v>
                </c:pt>
                <c:pt idx="3">
                  <c:v>0</c:v>
                </c:pt>
                <c:pt idx="4">
                  <c:v>-300</c:v>
                </c:pt>
                <c:pt idx="5">
                  <c:v>17950</c:v>
                </c:pt>
                <c:pt idx="6">
                  <c:v>0</c:v>
                </c:pt>
                <c:pt idx="7">
                  <c:v>0</c:v>
                </c:pt>
                <c:pt idx="8">
                  <c:v>0</c:v>
                </c:pt>
              </c:numCache>
            </c:numRef>
          </c:val>
          <c:extLst>
            <c:ext xmlns:c16="http://schemas.microsoft.com/office/drawing/2014/chart" uri="{C3380CC4-5D6E-409C-BE32-E72D297353CC}">
              <c16:uniqueId val="{00000003-D8C1-47AE-864C-C84ADCBE2AB6}"/>
            </c:ext>
          </c:extLst>
        </c:ser>
        <c:dLbls>
          <c:showLegendKey val="0"/>
          <c:showVal val="0"/>
          <c:showCatName val="0"/>
          <c:showSerName val="0"/>
          <c:showPercent val="0"/>
          <c:showBubbleSize val="0"/>
        </c:dLbls>
        <c:gapWidth val="150"/>
        <c:overlap val="100"/>
        <c:axId val="678315136"/>
        <c:axId val="678316384"/>
      </c:barChart>
      <c:catAx>
        <c:axId val="678315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8316384"/>
        <c:crosses val="autoZero"/>
        <c:auto val="1"/>
        <c:lblAlgn val="ctr"/>
        <c:lblOffset val="100"/>
        <c:noMultiLvlLbl val="0"/>
      </c:catAx>
      <c:valAx>
        <c:axId val="67831638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8315136"/>
        <c:crosses val="autoZero"/>
        <c:crossBetween val="between"/>
      </c:valAx>
      <c:spPr>
        <a:noFill/>
        <a:ln>
          <a:noFill/>
        </a:ln>
        <a:effectLst/>
      </c:spPr>
    </c:plotArea>
    <c:legend>
      <c:legendPos val="b"/>
      <c:layout>
        <c:manualLayout>
          <c:xMode val="edge"/>
          <c:yMode val="edge"/>
          <c:x val="0.25977205414711901"/>
          <c:y val="0.66439761035779532"/>
          <c:w val="0.51636348395783827"/>
          <c:h val="0.30753221138351217"/>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sng" strike="noStrike" kern="1200" spc="0" baseline="0">
                <a:solidFill>
                  <a:schemeClr val="tx1"/>
                </a:solidFill>
                <a:latin typeface="+mn-lt"/>
                <a:ea typeface="+mn-ea"/>
                <a:cs typeface="+mn-cs"/>
              </a:defRPr>
            </a:pPr>
            <a:r>
              <a:rPr lang="en-GB" b="1" i="0" u="sng" baseline="0">
                <a:solidFill>
                  <a:schemeClr val="tx1"/>
                </a:solidFill>
              </a:rPr>
              <a:t>Gross Trading Margin BL2 Y1-10 from Camp 53 Cafe, Shop, Exhibition Space &amp; Meeting Room </a:t>
            </a:r>
          </a:p>
        </c:rich>
      </c:tx>
      <c:overlay val="0"/>
      <c:spPr>
        <a:noFill/>
        <a:ln>
          <a:noFill/>
        </a:ln>
        <a:effectLst/>
      </c:spPr>
      <c:txPr>
        <a:bodyPr rot="0" spcFirstLastPara="1" vertOverflow="ellipsis" vert="horz" wrap="square" anchor="ctr" anchorCtr="1"/>
        <a:lstStyle/>
        <a:p>
          <a:pPr>
            <a:defRPr sz="1400" b="1" i="0" u="sng"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0741697272891716"/>
          <c:y val="0.13816658011568814"/>
          <c:w val="0.83908379744031292"/>
          <c:h val="0.69780040443821423"/>
        </c:manualLayout>
      </c:layout>
      <c:barChart>
        <c:barDir val="col"/>
        <c:grouping val="clustered"/>
        <c:varyColors val="0"/>
        <c:ser>
          <c:idx val="0"/>
          <c:order val="0"/>
          <c:tx>
            <c:strRef>
              <c:f>'WSWG Financial Projections&amp;P&amp;L'!$A$70</c:f>
              <c:strCache>
                <c:ptCount val="1"/>
                <c:pt idx="0">
                  <c:v>Camp 53 Café</c:v>
                </c:pt>
              </c:strCache>
            </c:strRef>
          </c:tx>
          <c:spPr>
            <a:solidFill>
              <a:schemeClr val="accent1"/>
            </a:solidFill>
            <a:ln>
              <a:noFill/>
            </a:ln>
            <a:effectLst/>
          </c:spPr>
          <c:invertIfNegative val="0"/>
          <c:val>
            <c:numRef>
              <c:f>'WSWG Financial Projections&amp;P&amp;L'!$B$70:$K$70</c:f>
              <c:numCache>
                <c:formatCode>"£"#,##0</c:formatCode>
                <c:ptCount val="10"/>
                <c:pt idx="5">
                  <c:v>19500</c:v>
                </c:pt>
                <c:pt idx="6">
                  <c:v>30750</c:v>
                </c:pt>
                <c:pt idx="7">
                  <c:v>30550</c:v>
                </c:pt>
                <c:pt idx="8">
                  <c:v>41600</c:v>
                </c:pt>
                <c:pt idx="9">
                  <c:v>41250</c:v>
                </c:pt>
              </c:numCache>
            </c:numRef>
          </c:val>
          <c:extLst>
            <c:ext xmlns:c16="http://schemas.microsoft.com/office/drawing/2014/chart" uri="{C3380CC4-5D6E-409C-BE32-E72D297353CC}">
              <c16:uniqueId val="{00000000-373B-4A45-8D02-85876A0F2EF5}"/>
            </c:ext>
          </c:extLst>
        </c:ser>
        <c:ser>
          <c:idx val="1"/>
          <c:order val="1"/>
          <c:tx>
            <c:strRef>
              <c:f>'WSWG Financial Projections&amp;P&amp;L'!$A$71</c:f>
              <c:strCache>
                <c:ptCount val="1"/>
                <c:pt idx="0">
                  <c:v>Camp 53 Shop</c:v>
                </c:pt>
              </c:strCache>
            </c:strRef>
          </c:tx>
          <c:spPr>
            <a:solidFill>
              <a:schemeClr val="accent2"/>
            </a:solidFill>
            <a:ln>
              <a:noFill/>
            </a:ln>
            <a:effectLst/>
          </c:spPr>
          <c:invertIfNegative val="0"/>
          <c:val>
            <c:numRef>
              <c:f>'WSWG Financial Projections&amp;P&amp;L'!$B$71:$K$71</c:f>
              <c:numCache>
                <c:formatCode>"£"#,##0</c:formatCode>
                <c:ptCount val="10"/>
                <c:pt idx="5">
                  <c:v>3750</c:v>
                </c:pt>
                <c:pt idx="6">
                  <c:v>5625</c:v>
                </c:pt>
                <c:pt idx="7">
                  <c:v>7500</c:v>
                </c:pt>
                <c:pt idx="8">
                  <c:v>9375</c:v>
                </c:pt>
                <c:pt idx="9">
                  <c:v>11250</c:v>
                </c:pt>
              </c:numCache>
            </c:numRef>
          </c:val>
          <c:extLst>
            <c:ext xmlns:c16="http://schemas.microsoft.com/office/drawing/2014/chart" uri="{C3380CC4-5D6E-409C-BE32-E72D297353CC}">
              <c16:uniqueId val="{00000001-373B-4A45-8D02-85876A0F2EF5}"/>
            </c:ext>
          </c:extLst>
        </c:ser>
        <c:ser>
          <c:idx val="2"/>
          <c:order val="2"/>
          <c:tx>
            <c:strRef>
              <c:f>'WSWG Financial Projections&amp;P&amp;L'!$A$72</c:f>
              <c:strCache>
                <c:ptCount val="1"/>
                <c:pt idx="0">
                  <c:v>Camp 53 Exhibition Space</c:v>
                </c:pt>
              </c:strCache>
            </c:strRef>
          </c:tx>
          <c:spPr>
            <a:solidFill>
              <a:schemeClr val="accent3"/>
            </a:solidFill>
            <a:ln>
              <a:noFill/>
            </a:ln>
            <a:effectLst/>
          </c:spPr>
          <c:invertIfNegative val="0"/>
          <c:val>
            <c:numRef>
              <c:f>'WSWG Financial Projections&amp;P&amp;L'!$B$72:$K$72</c:f>
              <c:numCache>
                <c:formatCode>"£"#,##0</c:formatCode>
                <c:ptCount val="10"/>
                <c:pt idx="5">
                  <c:v>50</c:v>
                </c:pt>
                <c:pt idx="6">
                  <c:v>850</c:v>
                </c:pt>
                <c:pt idx="7">
                  <c:v>1850</c:v>
                </c:pt>
                <c:pt idx="8">
                  <c:v>2850</c:v>
                </c:pt>
                <c:pt idx="9">
                  <c:v>3850</c:v>
                </c:pt>
              </c:numCache>
            </c:numRef>
          </c:val>
          <c:extLst>
            <c:ext xmlns:c16="http://schemas.microsoft.com/office/drawing/2014/chart" uri="{C3380CC4-5D6E-409C-BE32-E72D297353CC}">
              <c16:uniqueId val="{00000002-373B-4A45-8D02-85876A0F2EF5}"/>
            </c:ext>
          </c:extLst>
        </c:ser>
        <c:ser>
          <c:idx val="3"/>
          <c:order val="3"/>
          <c:tx>
            <c:strRef>
              <c:f>'WSWG Financial Projections&amp;P&amp;L'!$A$73</c:f>
              <c:strCache>
                <c:ptCount val="1"/>
                <c:pt idx="0">
                  <c:v>Camp 53 Meeting Room</c:v>
                </c:pt>
              </c:strCache>
            </c:strRef>
          </c:tx>
          <c:spPr>
            <a:solidFill>
              <a:schemeClr val="accent4"/>
            </a:solidFill>
            <a:ln>
              <a:noFill/>
            </a:ln>
            <a:effectLst/>
          </c:spPr>
          <c:invertIfNegative val="0"/>
          <c:val>
            <c:numRef>
              <c:f>'WSWG Financial Projections&amp;P&amp;L'!$B$73:$K$73</c:f>
              <c:numCache>
                <c:formatCode>"£"#,##0</c:formatCode>
                <c:ptCount val="10"/>
                <c:pt idx="5">
                  <c:v>4036</c:v>
                </c:pt>
                <c:pt idx="6">
                  <c:v>6561</c:v>
                </c:pt>
                <c:pt idx="7">
                  <c:v>6561</c:v>
                </c:pt>
                <c:pt idx="8">
                  <c:v>8986</c:v>
                </c:pt>
                <c:pt idx="9">
                  <c:v>8986</c:v>
                </c:pt>
              </c:numCache>
            </c:numRef>
          </c:val>
          <c:extLst>
            <c:ext xmlns:c16="http://schemas.microsoft.com/office/drawing/2014/chart" uri="{C3380CC4-5D6E-409C-BE32-E72D297353CC}">
              <c16:uniqueId val="{00000003-373B-4A45-8D02-85876A0F2EF5}"/>
            </c:ext>
          </c:extLst>
        </c:ser>
        <c:dLbls>
          <c:showLegendKey val="0"/>
          <c:showVal val="0"/>
          <c:showCatName val="0"/>
          <c:showSerName val="0"/>
          <c:showPercent val="0"/>
          <c:showBubbleSize val="0"/>
        </c:dLbls>
        <c:gapWidth val="219"/>
        <c:overlap val="-27"/>
        <c:axId val="680719776"/>
        <c:axId val="680720192"/>
      </c:barChart>
      <c:catAx>
        <c:axId val="680719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20192"/>
        <c:crosses val="autoZero"/>
        <c:auto val="1"/>
        <c:lblAlgn val="ctr"/>
        <c:lblOffset val="100"/>
        <c:noMultiLvlLbl val="0"/>
      </c:catAx>
      <c:valAx>
        <c:axId val="68072019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197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4" Type="http://schemas.openxmlformats.org/officeDocument/2006/relationships/chart" Target="../charts/chart19.xml"/></Relationships>
</file>

<file path=xl/drawings/drawing1.xml><?xml version="1.0" encoding="utf-8"?>
<xdr:wsDr xmlns:xdr="http://schemas.openxmlformats.org/drawingml/2006/spreadsheetDrawing" xmlns:a="http://schemas.openxmlformats.org/drawingml/2006/main">
  <xdr:twoCellAnchor>
    <xdr:from>
      <xdr:col>30</xdr:col>
      <xdr:colOff>220265</xdr:colOff>
      <xdr:row>3</xdr:row>
      <xdr:rowOff>226219</xdr:rowOff>
    </xdr:from>
    <xdr:to>
      <xdr:col>40</xdr:col>
      <xdr:colOff>381000</xdr:colOff>
      <xdr:row>21</xdr:row>
      <xdr:rowOff>151210</xdr:rowOff>
    </xdr:to>
    <xdr:graphicFrame macro="">
      <xdr:nvGraphicFramePr>
        <xdr:cNvPr id="2" name="Chart 1">
          <a:extLst>
            <a:ext uri="{FF2B5EF4-FFF2-40B4-BE49-F238E27FC236}">
              <a16:creationId xmlns:a16="http://schemas.microsoft.com/office/drawing/2014/main" id="{AFB0FE30-4283-B0A7-910B-B822DAE9173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41</xdr:col>
      <xdr:colOff>214313</xdr:colOff>
      <xdr:row>2</xdr:row>
      <xdr:rowOff>226220</xdr:rowOff>
    </xdr:from>
    <xdr:to>
      <xdr:col>51</xdr:col>
      <xdr:colOff>261938</xdr:colOff>
      <xdr:row>22</xdr:row>
      <xdr:rowOff>20242</xdr:rowOff>
    </xdr:to>
    <xdr:graphicFrame macro="">
      <xdr:nvGraphicFramePr>
        <xdr:cNvPr id="4" name="Chart 3">
          <a:extLst>
            <a:ext uri="{FF2B5EF4-FFF2-40B4-BE49-F238E27FC236}">
              <a16:creationId xmlns:a16="http://schemas.microsoft.com/office/drawing/2014/main" id="{8D036B56-A856-AC93-B001-D8382B9F3D6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51</xdr:col>
      <xdr:colOff>482204</xdr:colOff>
      <xdr:row>2</xdr:row>
      <xdr:rowOff>226220</xdr:rowOff>
    </xdr:from>
    <xdr:to>
      <xdr:col>62</xdr:col>
      <xdr:colOff>47625</xdr:colOff>
      <xdr:row>21</xdr:row>
      <xdr:rowOff>166689</xdr:rowOff>
    </xdr:to>
    <xdr:graphicFrame macro="">
      <xdr:nvGraphicFramePr>
        <xdr:cNvPr id="5" name="Chart 4">
          <a:extLst>
            <a:ext uri="{FF2B5EF4-FFF2-40B4-BE49-F238E27FC236}">
              <a16:creationId xmlns:a16="http://schemas.microsoft.com/office/drawing/2014/main" id="{08E8FCBB-8C56-65CA-AAE7-D03CB1864FF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43</xdr:col>
      <xdr:colOff>583406</xdr:colOff>
      <xdr:row>44</xdr:row>
      <xdr:rowOff>214315</xdr:rowOff>
    </xdr:from>
    <xdr:to>
      <xdr:col>48</xdr:col>
      <xdr:colOff>333375</xdr:colOff>
      <xdr:row>48</xdr:row>
      <xdr:rowOff>59533</xdr:rowOff>
    </xdr:to>
    <xdr:graphicFrame macro="">
      <xdr:nvGraphicFramePr>
        <xdr:cNvPr id="6" name="Chart 5">
          <a:extLst>
            <a:ext uri="{FF2B5EF4-FFF2-40B4-BE49-F238E27FC236}">
              <a16:creationId xmlns:a16="http://schemas.microsoft.com/office/drawing/2014/main" id="{8B1C361E-C7EC-23C1-D554-42B284BB773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49</xdr:col>
      <xdr:colOff>392904</xdr:colOff>
      <xdr:row>44</xdr:row>
      <xdr:rowOff>142875</xdr:rowOff>
    </xdr:from>
    <xdr:to>
      <xdr:col>53</xdr:col>
      <xdr:colOff>309560</xdr:colOff>
      <xdr:row>48</xdr:row>
      <xdr:rowOff>47624</xdr:rowOff>
    </xdr:to>
    <xdr:graphicFrame macro="">
      <xdr:nvGraphicFramePr>
        <xdr:cNvPr id="7" name="Chart 6">
          <a:extLst>
            <a:ext uri="{FF2B5EF4-FFF2-40B4-BE49-F238E27FC236}">
              <a16:creationId xmlns:a16="http://schemas.microsoft.com/office/drawing/2014/main" id="{65419F97-3DF2-D6B6-E8C1-4C9F42FD0DE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62</xdr:col>
      <xdr:colOff>601264</xdr:colOff>
      <xdr:row>24</xdr:row>
      <xdr:rowOff>202405</xdr:rowOff>
    </xdr:from>
    <xdr:to>
      <xdr:col>67</xdr:col>
      <xdr:colOff>0</xdr:colOff>
      <xdr:row>41</xdr:row>
      <xdr:rowOff>107156</xdr:rowOff>
    </xdr:to>
    <xdr:graphicFrame macro="">
      <xdr:nvGraphicFramePr>
        <xdr:cNvPr id="8" name="Chart 7">
          <a:extLst>
            <a:ext uri="{FF2B5EF4-FFF2-40B4-BE49-F238E27FC236}">
              <a16:creationId xmlns:a16="http://schemas.microsoft.com/office/drawing/2014/main" id="{41233673-145A-6551-279E-0CF87EF935C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30</xdr:col>
      <xdr:colOff>571499</xdr:colOff>
      <xdr:row>57</xdr:row>
      <xdr:rowOff>214313</xdr:rowOff>
    </xdr:from>
    <xdr:to>
      <xdr:col>40</xdr:col>
      <xdr:colOff>595312</xdr:colOff>
      <xdr:row>79</xdr:row>
      <xdr:rowOff>178594</xdr:rowOff>
    </xdr:to>
    <xdr:graphicFrame macro="">
      <xdr:nvGraphicFramePr>
        <xdr:cNvPr id="3" name="Chart 2">
          <a:extLst>
            <a:ext uri="{FF2B5EF4-FFF2-40B4-BE49-F238E27FC236}">
              <a16:creationId xmlns:a16="http://schemas.microsoft.com/office/drawing/2014/main" id="{9352E68C-984D-CF9D-392F-5F3954BB2D8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41</xdr:col>
      <xdr:colOff>595312</xdr:colOff>
      <xdr:row>58</xdr:row>
      <xdr:rowOff>35719</xdr:rowOff>
    </xdr:from>
    <xdr:to>
      <xdr:col>51</xdr:col>
      <xdr:colOff>535781</xdr:colOff>
      <xdr:row>79</xdr:row>
      <xdr:rowOff>0</xdr:rowOff>
    </xdr:to>
    <xdr:graphicFrame macro="">
      <xdr:nvGraphicFramePr>
        <xdr:cNvPr id="9" name="Chart 8">
          <a:extLst>
            <a:ext uri="{FF2B5EF4-FFF2-40B4-BE49-F238E27FC236}">
              <a16:creationId xmlns:a16="http://schemas.microsoft.com/office/drawing/2014/main" id="{602285DB-14A5-A789-A282-E9CC018D468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53</xdr:col>
      <xdr:colOff>178592</xdr:colOff>
      <xdr:row>58</xdr:row>
      <xdr:rowOff>63100</xdr:rowOff>
    </xdr:from>
    <xdr:to>
      <xdr:col>63</xdr:col>
      <xdr:colOff>381000</xdr:colOff>
      <xdr:row>79</xdr:row>
      <xdr:rowOff>47624</xdr:rowOff>
    </xdr:to>
    <xdr:graphicFrame macro="">
      <xdr:nvGraphicFramePr>
        <xdr:cNvPr id="10" name="Chart 9">
          <a:extLst>
            <a:ext uri="{FF2B5EF4-FFF2-40B4-BE49-F238E27FC236}">
              <a16:creationId xmlns:a16="http://schemas.microsoft.com/office/drawing/2014/main" id="{BFF6DBB9-9219-3CBB-F2B2-D63A1531808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31</xdr:col>
      <xdr:colOff>95257</xdr:colOff>
      <xdr:row>80</xdr:row>
      <xdr:rowOff>0</xdr:rowOff>
    </xdr:from>
    <xdr:to>
      <xdr:col>40</xdr:col>
      <xdr:colOff>583405</xdr:colOff>
      <xdr:row>91</xdr:row>
      <xdr:rowOff>142874</xdr:rowOff>
    </xdr:to>
    <xdr:graphicFrame macro="">
      <xdr:nvGraphicFramePr>
        <xdr:cNvPr id="11" name="Chart 10">
          <a:extLst>
            <a:ext uri="{FF2B5EF4-FFF2-40B4-BE49-F238E27FC236}">
              <a16:creationId xmlns:a16="http://schemas.microsoft.com/office/drawing/2014/main" id="{64B3AD6F-30AD-1976-958E-BBBB4435218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42</xdr:col>
      <xdr:colOff>142874</xdr:colOff>
      <xdr:row>80</xdr:row>
      <xdr:rowOff>0</xdr:rowOff>
    </xdr:from>
    <xdr:to>
      <xdr:col>51</xdr:col>
      <xdr:colOff>381000</xdr:colOff>
      <xdr:row>91</xdr:row>
      <xdr:rowOff>190499</xdr:rowOff>
    </xdr:to>
    <xdr:graphicFrame macro="">
      <xdr:nvGraphicFramePr>
        <xdr:cNvPr id="12" name="Chart 11">
          <a:extLst>
            <a:ext uri="{FF2B5EF4-FFF2-40B4-BE49-F238E27FC236}">
              <a16:creationId xmlns:a16="http://schemas.microsoft.com/office/drawing/2014/main" id="{8ED57A02-FF32-EFD1-32A6-303814EE019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30</xdr:col>
      <xdr:colOff>190499</xdr:colOff>
      <xdr:row>23</xdr:row>
      <xdr:rowOff>23812</xdr:rowOff>
    </xdr:from>
    <xdr:to>
      <xdr:col>40</xdr:col>
      <xdr:colOff>404811</xdr:colOff>
      <xdr:row>37</xdr:row>
      <xdr:rowOff>173831</xdr:rowOff>
    </xdr:to>
    <xdr:graphicFrame macro="">
      <xdr:nvGraphicFramePr>
        <xdr:cNvPr id="14" name="Chart 13">
          <a:extLst>
            <a:ext uri="{FF2B5EF4-FFF2-40B4-BE49-F238E27FC236}">
              <a16:creationId xmlns:a16="http://schemas.microsoft.com/office/drawing/2014/main" id="{12AFD36C-6DCC-4600-BC44-C54C63674A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41</xdr:col>
      <xdr:colOff>285749</xdr:colOff>
      <xdr:row>23</xdr:row>
      <xdr:rowOff>47625</xdr:rowOff>
    </xdr:from>
    <xdr:to>
      <xdr:col>51</xdr:col>
      <xdr:colOff>261938</xdr:colOff>
      <xdr:row>37</xdr:row>
      <xdr:rowOff>157162</xdr:rowOff>
    </xdr:to>
    <xdr:graphicFrame macro="">
      <xdr:nvGraphicFramePr>
        <xdr:cNvPr id="18" name="Chart 17">
          <a:extLst>
            <a:ext uri="{FF2B5EF4-FFF2-40B4-BE49-F238E27FC236}">
              <a16:creationId xmlns:a16="http://schemas.microsoft.com/office/drawing/2014/main" id="{DA9687A9-5845-4046-A358-9086E976CC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51</xdr:col>
      <xdr:colOff>535782</xdr:colOff>
      <xdr:row>23</xdr:row>
      <xdr:rowOff>47625</xdr:rowOff>
    </xdr:from>
    <xdr:to>
      <xdr:col>60</xdr:col>
      <xdr:colOff>376238</xdr:colOff>
      <xdr:row>37</xdr:row>
      <xdr:rowOff>176213</xdr:rowOff>
    </xdr:to>
    <xdr:graphicFrame macro="">
      <xdr:nvGraphicFramePr>
        <xdr:cNvPr id="19" name="Chart 18">
          <a:extLst>
            <a:ext uri="{FF2B5EF4-FFF2-40B4-BE49-F238E27FC236}">
              <a16:creationId xmlns:a16="http://schemas.microsoft.com/office/drawing/2014/main" id="{BE2BC1F0-A77A-4BB1-8602-0B706E44CE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30</xdr:col>
      <xdr:colOff>261937</xdr:colOff>
      <xdr:row>40</xdr:row>
      <xdr:rowOff>107156</xdr:rowOff>
    </xdr:from>
    <xdr:to>
      <xdr:col>40</xdr:col>
      <xdr:colOff>380999</xdr:colOff>
      <xdr:row>55</xdr:row>
      <xdr:rowOff>71438</xdr:rowOff>
    </xdr:to>
    <xdr:graphicFrame macro="">
      <xdr:nvGraphicFramePr>
        <xdr:cNvPr id="15" name="Chart 14">
          <a:extLst>
            <a:ext uri="{FF2B5EF4-FFF2-40B4-BE49-F238E27FC236}">
              <a16:creationId xmlns:a16="http://schemas.microsoft.com/office/drawing/2014/main" id="{8D018387-D1FB-4CDB-B0B7-3F81BEF19C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12</xdr:col>
      <xdr:colOff>85725</xdr:colOff>
      <xdr:row>5</xdr:row>
      <xdr:rowOff>142875</xdr:rowOff>
    </xdr:from>
    <xdr:to>
      <xdr:col>20</xdr:col>
      <xdr:colOff>504825</xdr:colOff>
      <xdr:row>23</xdr:row>
      <xdr:rowOff>109537</xdr:rowOff>
    </xdr:to>
    <xdr:graphicFrame macro="">
      <xdr:nvGraphicFramePr>
        <xdr:cNvPr id="2" name="Chart 1">
          <a:extLst>
            <a:ext uri="{FF2B5EF4-FFF2-40B4-BE49-F238E27FC236}">
              <a16:creationId xmlns:a16="http://schemas.microsoft.com/office/drawing/2014/main" id="{2C3357FF-D69D-77CC-7E21-EBB22171DC8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209550</xdr:colOff>
      <xdr:row>6</xdr:row>
      <xdr:rowOff>38100</xdr:rowOff>
    </xdr:from>
    <xdr:to>
      <xdr:col>12</xdr:col>
      <xdr:colOff>19050</xdr:colOff>
      <xdr:row>24</xdr:row>
      <xdr:rowOff>57150</xdr:rowOff>
    </xdr:to>
    <xdr:graphicFrame macro="">
      <xdr:nvGraphicFramePr>
        <xdr:cNvPr id="3" name="Chart 2">
          <a:extLst>
            <a:ext uri="{FF2B5EF4-FFF2-40B4-BE49-F238E27FC236}">
              <a16:creationId xmlns:a16="http://schemas.microsoft.com/office/drawing/2014/main" id="{F963A9AC-4E11-0241-CA41-B8BB0241FA2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371474</xdr:colOff>
      <xdr:row>5</xdr:row>
      <xdr:rowOff>176211</xdr:rowOff>
    </xdr:from>
    <xdr:to>
      <xdr:col>30</xdr:col>
      <xdr:colOff>190499</xdr:colOff>
      <xdr:row>23</xdr:row>
      <xdr:rowOff>161924</xdr:rowOff>
    </xdr:to>
    <xdr:graphicFrame macro="">
      <xdr:nvGraphicFramePr>
        <xdr:cNvPr id="4" name="Chart 3">
          <a:extLst>
            <a:ext uri="{FF2B5EF4-FFF2-40B4-BE49-F238E27FC236}">
              <a16:creationId xmlns:a16="http://schemas.microsoft.com/office/drawing/2014/main" id="{5391ACF1-FB4B-A0E7-50F3-14A7349EF55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228600</xdr:colOff>
      <xdr:row>26</xdr:row>
      <xdr:rowOff>4762</xdr:rowOff>
    </xdr:from>
    <xdr:to>
      <xdr:col>11</xdr:col>
      <xdr:colOff>552450</xdr:colOff>
      <xdr:row>43</xdr:row>
      <xdr:rowOff>171450</xdr:rowOff>
    </xdr:to>
    <xdr:graphicFrame macro="">
      <xdr:nvGraphicFramePr>
        <xdr:cNvPr id="5" name="Chart 4">
          <a:extLst>
            <a:ext uri="{FF2B5EF4-FFF2-40B4-BE49-F238E27FC236}">
              <a16:creationId xmlns:a16="http://schemas.microsoft.com/office/drawing/2014/main" id="{0490B296-5A95-5D7A-8C82-46A76D84631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A1FA0-C4E4-4D0B-83B4-0F221207BFB7}">
  <sheetPr>
    <pageSetUpPr fitToPage="1"/>
  </sheetPr>
  <dimension ref="A1:AD294"/>
  <sheetViews>
    <sheetView tabSelected="1" zoomScale="80" zoomScaleNormal="80" workbookViewId="0">
      <pane xSplit="1" topLeftCell="B1" activePane="topRight" state="frozen"/>
      <selection pane="topRight" activeCell="A13" sqref="A13 A110 A186 A191 A234 A282"/>
    </sheetView>
  </sheetViews>
  <sheetFormatPr defaultRowHeight="14.4" x14ac:dyDescent="0.3"/>
  <cols>
    <col min="1" max="1" width="65" customWidth="1"/>
    <col min="2" max="2" width="24.88671875" customWidth="1"/>
    <col min="3" max="11" width="19" customWidth="1"/>
    <col min="12" max="12" width="23.109375" style="59" customWidth="1"/>
    <col min="13" max="27" width="15" customWidth="1"/>
    <col min="28" max="28" width="18.44140625" customWidth="1"/>
    <col min="29" max="29" width="32.88671875" customWidth="1"/>
    <col min="30" max="30" width="15" customWidth="1"/>
    <col min="66" max="66" width="49.88671875" customWidth="1"/>
  </cols>
  <sheetData>
    <row r="1" spans="1:30" ht="36" x14ac:dyDescent="0.35">
      <c r="A1" s="67" t="s">
        <v>171</v>
      </c>
      <c r="B1" s="2" t="s">
        <v>0</v>
      </c>
      <c r="C1" s="2" t="s">
        <v>1</v>
      </c>
      <c r="D1" s="2" t="s">
        <v>2</v>
      </c>
      <c r="E1" s="2" t="s">
        <v>3</v>
      </c>
      <c r="F1" s="2" t="s">
        <v>4</v>
      </c>
      <c r="G1" s="2" t="s">
        <v>5</v>
      </c>
      <c r="H1" s="2" t="s">
        <v>6</v>
      </c>
      <c r="I1" s="2" t="s">
        <v>7</v>
      </c>
      <c r="J1" s="2" t="s">
        <v>8</v>
      </c>
      <c r="K1" s="2" t="s">
        <v>9</v>
      </c>
      <c r="L1" s="127" t="s">
        <v>10</v>
      </c>
      <c r="M1" s="2" t="s">
        <v>11</v>
      </c>
      <c r="N1" s="2" t="s">
        <v>12</v>
      </c>
      <c r="O1" s="2" t="s">
        <v>13</v>
      </c>
      <c r="P1" s="2" t="s">
        <v>14</v>
      </c>
      <c r="Q1" s="2" t="s">
        <v>15</v>
      </c>
      <c r="R1" s="2" t="s">
        <v>16</v>
      </c>
      <c r="S1" s="2" t="s">
        <v>17</v>
      </c>
      <c r="T1" s="2" t="s">
        <v>18</v>
      </c>
      <c r="U1" s="2" t="s">
        <v>19</v>
      </c>
      <c r="V1" s="2" t="s">
        <v>20</v>
      </c>
      <c r="W1" s="2" t="s">
        <v>21</v>
      </c>
      <c r="X1" s="2" t="s">
        <v>22</v>
      </c>
      <c r="Y1" s="2" t="s">
        <v>23</v>
      </c>
      <c r="Z1" s="2" t="s">
        <v>24</v>
      </c>
      <c r="AA1" s="2" t="s">
        <v>25</v>
      </c>
      <c r="AB1" s="3" t="s">
        <v>26</v>
      </c>
      <c r="AC1" s="73" t="s">
        <v>27</v>
      </c>
      <c r="AD1" s="5"/>
    </row>
    <row r="2" spans="1:30" ht="18" x14ac:dyDescent="0.35">
      <c r="A2" s="6"/>
      <c r="B2" s="7"/>
      <c r="C2" s="7"/>
      <c r="D2" s="7"/>
      <c r="E2" s="7"/>
      <c r="F2" s="7"/>
      <c r="G2" s="7"/>
      <c r="H2" s="7"/>
      <c r="I2" s="7"/>
      <c r="J2" s="7"/>
      <c r="K2" s="7"/>
      <c r="L2" s="127"/>
      <c r="M2" s="7"/>
      <c r="N2" s="7"/>
      <c r="O2" s="7"/>
      <c r="P2" s="7"/>
      <c r="Q2" s="7"/>
      <c r="R2" s="7"/>
      <c r="S2" s="7"/>
      <c r="T2" s="7"/>
      <c r="U2" s="7"/>
      <c r="V2" s="7"/>
      <c r="W2" s="7"/>
      <c r="X2" s="7"/>
      <c r="Y2" s="7"/>
      <c r="Z2" s="7"/>
      <c r="AA2" s="7"/>
      <c r="AB2" s="7"/>
      <c r="AC2" s="7"/>
      <c r="AD2" s="5"/>
    </row>
    <row r="3" spans="1:30" ht="18" x14ac:dyDescent="0.35">
      <c r="L3" s="128"/>
    </row>
    <row r="4" spans="1:30" ht="18" x14ac:dyDescent="0.35">
      <c r="A4" s="35" t="s">
        <v>52</v>
      </c>
      <c r="B4" s="36"/>
      <c r="C4" s="36"/>
      <c r="D4" s="36"/>
      <c r="E4" s="36"/>
      <c r="F4" s="36"/>
      <c r="G4" s="36"/>
      <c r="H4" s="36"/>
      <c r="I4" s="36"/>
      <c r="J4" s="36"/>
      <c r="K4" s="36"/>
      <c r="L4" s="128"/>
      <c r="M4" s="36"/>
      <c r="N4" s="36"/>
      <c r="O4" s="36"/>
      <c r="P4" s="36"/>
      <c r="Q4" s="36"/>
      <c r="R4" s="36"/>
      <c r="S4" s="36"/>
      <c r="T4" s="36"/>
      <c r="U4" s="36"/>
      <c r="V4" s="36"/>
      <c r="W4" s="36"/>
      <c r="X4" s="36"/>
      <c r="Y4" s="36"/>
      <c r="Z4" s="36"/>
      <c r="AA4" s="36"/>
      <c r="AB4" s="36"/>
      <c r="AC4" s="36"/>
    </row>
    <row r="5" spans="1:30" ht="18" x14ac:dyDescent="0.35">
      <c r="L5" s="128"/>
    </row>
    <row r="6" spans="1:30" ht="18" x14ac:dyDescent="0.35">
      <c r="A6" s="8" t="s">
        <v>65</v>
      </c>
      <c r="B6" s="48"/>
      <c r="C6" s="48"/>
      <c r="D6" s="48"/>
      <c r="E6" s="48"/>
      <c r="F6" s="48"/>
      <c r="G6" s="48"/>
      <c r="H6" s="48"/>
      <c r="I6" s="48"/>
      <c r="J6" s="48"/>
      <c r="K6" s="48"/>
      <c r="L6" s="128"/>
      <c r="M6" s="48"/>
      <c r="N6" s="48"/>
      <c r="O6" s="48"/>
      <c r="P6" s="48"/>
      <c r="Q6" s="48"/>
      <c r="R6" s="48"/>
      <c r="S6" s="48"/>
      <c r="T6" s="48"/>
      <c r="U6" s="48"/>
      <c r="V6" s="48"/>
      <c r="W6" s="48"/>
      <c r="X6" s="48"/>
      <c r="Y6" s="48"/>
      <c r="Z6" s="48"/>
      <c r="AA6" s="48"/>
      <c r="AB6" s="48"/>
      <c r="AC6" s="48"/>
    </row>
    <row r="7" spans="1:30" ht="18" x14ac:dyDescent="0.35">
      <c r="A7" s="33" t="s">
        <v>29</v>
      </c>
      <c r="B7" s="9"/>
      <c r="C7" s="9"/>
      <c r="D7" s="9"/>
      <c r="E7" s="9"/>
      <c r="F7" s="9"/>
      <c r="G7" s="9"/>
      <c r="H7" s="9"/>
      <c r="I7" s="9"/>
      <c r="J7" s="9"/>
      <c r="K7" s="9"/>
      <c r="L7" s="129"/>
      <c r="M7" s="11"/>
      <c r="N7" s="11"/>
      <c r="O7" s="11"/>
      <c r="P7" s="11"/>
      <c r="Q7" s="11"/>
      <c r="R7" s="11"/>
      <c r="S7" s="11"/>
      <c r="T7" s="11"/>
      <c r="U7" s="11"/>
      <c r="V7" s="11"/>
      <c r="W7" s="11"/>
      <c r="X7" s="11"/>
      <c r="Y7" s="11"/>
      <c r="Z7" s="11"/>
      <c r="AA7" s="11"/>
      <c r="AB7" s="3"/>
      <c r="AC7" s="34"/>
    </row>
    <row r="8" spans="1:30" ht="18" x14ac:dyDescent="0.35">
      <c r="A8" s="14" t="s">
        <v>53</v>
      </c>
      <c r="B8" s="9">
        <v>1692</v>
      </c>
      <c r="C8" s="9">
        <v>4230</v>
      </c>
      <c r="D8" s="9">
        <v>5076</v>
      </c>
      <c r="E8" s="9">
        <v>5922</v>
      </c>
      <c r="F8" s="9">
        <v>6768</v>
      </c>
      <c r="G8" s="9">
        <v>7614</v>
      </c>
      <c r="H8" s="9">
        <v>8460</v>
      </c>
      <c r="I8" s="9">
        <v>8460</v>
      </c>
      <c r="J8" s="9">
        <v>8460</v>
      </c>
      <c r="K8" s="9">
        <v>8460</v>
      </c>
      <c r="L8" s="128">
        <f>SUM(B8:K8)</f>
        <v>65142</v>
      </c>
      <c r="M8" s="32">
        <v>8460</v>
      </c>
      <c r="N8" s="32">
        <v>8460</v>
      </c>
      <c r="O8" s="32">
        <v>8460</v>
      </c>
      <c r="P8" s="32">
        <v>8460</v>
      </c>
      <c r="Q8" s="32">
        <v>8460</v>
      </c>
      <c r="R8" s="32">
        <v>8460</v>
      </c>
      <c r="S8" s="32">
        <v>8460</v>
      </c>
      <c r="T8" s="32">
        <v>8460</v>
      </c>
      <c r="U8" s="32">
        <v>8460</v>
      </c>
      <c r="V8" s="32">
        <v>8460</v>
      </c>
      <c r="W8" s="32">
        <v>8460</v>
      </c>
      <c r="X8" s="32">
        <v>8460</v>
      </c>
      <c r="Y8" s="32">
        <v>8460</v>
      </c>
      <c r="Z8" s="32">
        <v>8460</v>
      </c>
      <c r="AA8" s="32">
        <v>8460</v>
      </c>
      <c r="AB8" s="12">
        <f t="shared" ref="AB8:AB29" si="0">SUM(M8:AA8)</f>
        <v>126900</v>
      </c>
      <c r="AC8" s="37">
        <f t="shared" ref="AC8:AC29" si="1">L8+AB8</f>
        <v>192042</v>
      </c>
    </row>
    <row r="9" spans="1:30" ht="18" x14ac:dyDescent="0.35">
      <c r="A9" s="14" t="s">
        <v>54</v>
      </c>
      <c r="B9" s="9"/>
      <c r="C9" s="9">
        <v>5820</v>
      </c>
      <c r="D9" s="9">
        <v>7698.8</v>
      </c>
      <c r="E9" s="9">
        <v>12660</v>
      </c>
      <c r="F9" s="9">
        <v>12660</v>
      </c>
      <c r="G9" s="9">
        <v>12660</v>
      </c>
      <c r="H9" s="9">
        <v>12660</v>
      </c>
      <c r="I9" s="9">
        <v>12660</v>
      </c>
      <c r="J9" s="9">
        <v>12660</v>
      </c>
      <c r="K9" s="9">
        <v>12660</v>
      </c>
      <c r="L9" s="128">
        <f>SUM(C9:K9)</f>
        <v>102138.8</v>
      </c>
      <c r="M9" s="32">
        <v>12660</v>
      </c>
      <c r="N9" s="32">
        <v>12660</v>
      </c>
      <c r="O9" s="32">
        <v>12660</v>
      </c>
      <c r="P9" s="32">
        <v>12660</v>
      </c>
      <c r="Q9" s="32">
        <v>12660</v>
      </c>
      <c r="R9" s="32">
        <v>8460</v>
      </c>
      <c r="S9" s="32">
        <v>12660</v>
      </c>
      <c r="T9" s="32">
        <v>12660</v>
      </c>
      <c r="U9" s="32">
        <v>12660</v>
      </c>
      <c r="V9" s="32">
        <v>12660</v>
      </c>
      <c r="W9" s="32">
        <v>12660</v>
      </c>
      <c r="X9" s="32">
        <v>12660</v>
      </c>
      <c r="Y9" s="32">
        <v>12660</v>
      </c>
      <c r="Z9" s="32">
        <v>12660</v>
      </c>
      <c r="AA9" s="32">
        <v>12660</v>
      </c>
      <c r="AB9" s="12">
        <f t="shared" si="0"/>
        <v>185700</v>
      </c>
      <c r="AC9" s="37">
        <f t="shared" si="1"/>
        <v>287838.8</v>
      </c>
    </row>
    <row r="10" spans="1:30" ht="18" x14ac:dyDescent="0.35">
      <c r="A10" s="77" t="s">
        <v>66</v>
      </c>
      <c r="B10" s="74">
        <f>SUM(B8:B9)</f>
        <v>1692</v>
      </c>
      <c r="C10" s="74">
        <f t="shared" ref="C10:K10" si="2">SUM(C8:C9)</f>
        <v>10050</v>
      </c>
      <c r="D10" s="74">
        <f t="shared" si="2"/>
        <v>12774.8</v>
      </c>
      <c r="E10" s="74">
        <f t="shared" si="2"/>
        <v>18582</v>
      </c>
      <c r="F10" s="74">
        <f t="shared" si="2"/>
        <v>19428</v>
      </c>
      <c r="G10" s="74">
        <f t="shared" si="2"/>
        <v>20274</v>
      </c>
      <c r="H10" s="74">
        <f t="shared" si="2"/>
        <v>21120</v>
      </c>
      <c r="I10" s="74">
        <f t="shared" si="2"/>
        <v>21120</v>
      </c>
      <c r="J10" s="74">
        <f t="shared" si="2"/>
        <v>21120</v>
      </c>
      <c r="K10" s="74">
        <f t="shared" si="2"/>
        <v>21120</v>
      </c>
      <c r="L10" s="128">
        <f>SUM(B10:K10)</f>
        <v>167280.79999999999</v>
      </c>
      <c r="M10" s="78">
        <f>SUM(M8:M9)</f>
        <v>21120</v>
      </c>
      <c r="N10" s="78">
        <f t="shared" ref="N10:AA10" si="3">SUM(N8:N9)</f>
        <v>21120</v>
      </c>
      <c r="O10" s="78">
        <f t="shared" si="3"/>
        <v>21120</v>
      </c>
      <c r="P10" s="78">
        <f t="shared" si="3"/>
        <v>21120</v>
      </c>
      <c r="Q10" s="78">
        <f t="shared" si="3"/>
        <v>21120</v>
      </c>
      <c r="R10" s="78">
        <f t="shared" si="3"/>
        <v>16920</v>
      </c>
      <c r="S10" s="78">
        <f t="shared" si="3"/>
        <v>21120</v>
      </c>
      <c r="T10" s="78">
        <f t="shared" si="3"/>
        <v>21120</v>
      </c>
      <c r="U10" s="78">
        <f t="shared" si="3"/>
        <v>21120</v>
      </c>
      <c r="V10" s="78">
        <f t="shared" si="3"/>
        <v>21120</v>
      </c>
      <c r="W10" s="78">
        <f t="shared" si="3"/>
        <v>21120</v>
      </c>
      <c r="X10" s="78">
        <f t="shared" si="3"/>
        <v>21120</v>
      </c>
      <c r="Y10" s="78">
        <f t="shared" si="3"/>
        <v>21120</v>
      </c>
      <c r="Z10" s="78">
        <f t="shared" si="3"/>
        <v>21120</v>
      </c>
      <c r="AA10" s="78">
        <f t="shared" si="3"/>
        <v>21120</v>
      </c>
      <c r="AB10" s="79">
        <f t="shared" si="0"/>
        <v>312600</v>
      </c>
      <c r="AC10" s="80">
        <f t="shared" si="1"/>
        <v>479880.8</v>
      </c>
    </row>
    <row r="11" spans="1:30" ht="18" x14ac:dyDescent="0.35">
      <c r="A11" s="40"/>
      <c r="B11" s="41"/>
      <c r="C11" s="41"/>
      <c r="D11" s="41"/>
      <c r="E11" s="41"/>
      <c r="F11" s="41"/>
      <c r="G11" s="41"/>
      <c r="H11" s="41"/>
      <c r="I11" s="41"/>
      <c r="J11" s="41"/>
      <c r="K11" s="41"/>
      <c r="L11" s="127"/>
      <c r="M11" s="42"/>
      <c r="N11" s="42"/>
      <c r="O11" s="42"/>
      <c r="P11" s="42"/>
      <c r="Q11" s="42"/>
      <c r="R11" s="42"/>
      <c r="S11" s="42"/>
      <c r="T11" s="42"/>
      <c r="U11" s="42"/>
      <c r="V11" s="42"/>
      <c r="W11" s="42"/>
      <c r="X11" s="42"/>
      <c r="Y11" s="42"/>
      <c r="Z11" s="42"/>
      <c r="AA11" s="42"/>
      <c r="AB11" s="3"/>
      <c r="AC11" s="34"/>
    </row>
    <row r="12" spans="1:30" ht="18" x14ac:dyDescent="0.35">
      <c r="A12" s="40" t="s">
        <v>55</v>
      </c>
      <c r="B12" s="41">
        <v>10100</v>
      </c>
      <c r="C12" s="41">
        <v>17100</v>
      </c>
      <c r="D12" s="41">
        <v>22100</v>
      </c>
      <c r="E12" s="41">
        <v>27800</v>
      </c>
      <c r="F12" s="41">
        <v>33300</v>
      </c>
      <c r="G12" s="41">
        <v>46250</v>
      </c>
      <c r="H12" s="41">
        <v>55355</v>
      </c>
      <c r="I12" s="41">
        <v>59990</v>
      </c>
      <c r="J12" s="41">
        <v>67900</v>
      </c>
      <c r="K12" s="41">
        <v>74810</v>
      </c>
      <c r="L12" s="128">
        <f>SUM(B12:K12)</f>
        <v>414705</v>
      </c>
      <c r="M12" s="42">
        <v>74810</v>
      </c>
      <c r="N12" s="42">
        <v>74810</v>
      </c>
      <c r="O12" s="42">
        <v>74810</v>
      </c>
      <c r="P12" s="42">
        <v>74810</v>
      </c>
      <c r="Q12" s="42">
        <v>74810</v>
      </c>
      <c r="R12" s="42">
        <v>74810</v>
      </c>
      <c r="S12" s="42">
        <v>74810</v>
      </c>
      <c r="T12" s="42">
        <v>74810</v>
      </c>
      <c r="U12" s="42">
        <v>74810</v>
      </c>
      <c r="V12" s="42">
        <v>74810</v>
      </c>
      <c r="W12" s="42">
        <v>74810</v>
      </c>
      <c r="X12" s="42">
        <v>74810</v>
      </c>
      <c r="Y12" s="42">
        <v>74810</v>
      </c>
      <c r="Z12" s="42">
        <v>74810</v>
      </c>
      <c r="AA12" s="42">
        <v>74810</v>
      </c>
      <c r="AB12" s="12">
        <f>SUM(M12:AA12)</f>
        <v>1122150</v>
      </c>
      <c r="AC12" s="37">
        <f t="shared" si="1"/>
        <v>1536855</v>
      </c>
    </row>
    <row r="13" spans="1:30" ht="18" x14ac:dyDescent="0.35">
      <c r="A13" s="40" t="s">
        <v>56</v>
      </c>
      <c r="B13" s="49">
        <v>124540.33333333299</v>
      </c>
      <c r="C13" s="49">
        <v>122570.33333333299</v>
      </c>
      <c r="D13" s="49">
        <v>122570.33333333299</v>
      </c>
      <c r="E13" s="49">
        <v>0</v>
      </c>
      <c r="F13" s="49">
        <v>0</v>
      </c>
      <c r="G13" s="49">
        <v>97722</v>
      </c>
      <c r="H13" s="49">
        <v>450</v>
      </c>
      <c r="I13" s="49">
        <v>450</v>
      </c>
      <c r="J13" s="49">
        <v>450</v>
      </c>
      <c r="K13" s="49">
        <v>450</v>
      </c>
      <c r="L13" s="128">
        <f>SUM(B13:K13)</f>
        <v>469202.99999999895</v>
      </c>
      <c r="M13" s="50">
        <v>92331</v>
      </c>
      <c r="N13" s="50">
        <v>450</v>
      </c>
      <c r="O13" s="50">
        <v>450</v>
      </c>
      <c r="P13" s="50">
        <v>450</v>
      </c>
      <c r="Q13" s="50">
        <v>450</v>
      </c>
      <c r="R13" s="50">
        <v>44953</v>
      </c>
      <c r="S13" s="50">
        <v>450</v>
      </c>
      <c r="T13" s="50">
        <v>450</v>
      </c>
      <c r="U13" s="50">
        <v>450</v>
      </c>
      <c r="V13" s="50">
        <v>450</v>
      </c>
      <c r="W13" s="50">
        <v>145661</v>
      </c>
      <c r="X13" s="50">
        <v>450</v>
      </c>
      <c r="Y13" s="50">
        <v>450</v>
      </c>
      <c r="Z13" s="50">
        <v>450</v>
      </c>
      <c r="AA13" s="50">
        <v>450</v>
      </c>
      <c r="AB13" s="51">
        <f>SUM(M13:AA13)</f>
        <v>288345</v>
      </c>
      <c r="AC13" s="27">
        <f t="shared" si="1"/>
        <v>757547.99999999895</v>
      </c>
    </row>
    <row r="14" spans="1:30" ht="18" x14ac:dyDescent="0.35">
      <c r="A14" s="40" t="s">
        <v>57</v>
      </c>
      <c r="B14" s="41">
        <v>10100</v>
      </c>
      <c r="C14" s="41">
        <v>15420</v>
      </c>
      <c r="D14" s="41">
        <v>20420</v>
      </c>
      <c r="E14" s="41">
        <v>25420</v>
      </c>
      <c r="F14" s="41">
        <v>30420</v>
      </c>
      <c r="G14" s="41">
        <v>35420</v>
      </c>
      <c r="H14" s="41">
        <v>40100</v>
      </c>
      <c r="I14" s="41">
        <v>40100</v>
      </c>
      <c r="J14" s="41">
        <v>40100</v>
      </c>
      <c r="K14" s="41">
        <v>40100</v>
      </c>
      <c r="L14" s="128">
        <f>SUM(B14:K14)</f>
        <v>297600</v>
      </c>
      <c r="M14" s="42">
        <v>40100</v>
      </c>
      <c r="N14" s="42">
        <v>40100</v>
      </c>
      <c r="O14" s="42">
        <v>40100</v>
      </c>
      <c r="P14" s="42">
        <v>40100</v>
      </c>
      <c r="Q14" s="42">
        <v>40100</v>
      </c>
      <c r="R14" s="42">
        <v>40100</v>
      </c>
      <c r="S14" s="42">
        <v>40100</v>
      </c>
      <c r="T14" s="42">
        <v>40100</v>
      </c>
      <c r="U14" s="42">
        <v>40100</v>
      </c>
      <c r="V14" s="42">
        <v>40100</v>
      </c>
      <c r="W14" s="42">
        <v>40100</v>
      </c>
      <c r="X14" s="42">
        <v>40100</v>
      </c>
      <c r="Y14" s="42">
        <v>40100</v>
      </c>
      <c r="Z14" s="42">
        <v>40100</v>
      </c>
      <c r="AA14" s="42">
        <v>40100</v>
      </c>
      <c r="AB14" s="12">
        <f>SUM(M14:AA14)</f>
        <v>601500</v>
      </c>
      <c r="AC14" s="37">
        <f t="shared" si="1"/>
        <v>899100</v>
      </c>
    </row>
    <row r="15" spans="1:30" ht="18" x14ac:dyDescent="0.35">
      <c r="A15" s="40" t="s">
        <v>58</v>
      </c>
      <c r="B15" s="41">
        <v>114746</v>
      </c>
      <c r="C15" s="41">
        <v>0</v>
      </c>
      <c r="D15" s="41">
        <v>0</v>
      </c>
      <c r="E15" s="41">
        <v>0</v>
      </c>
      <c r="F15" s="41">
        <v>0</v>
      </c>
      <c r="G15" s="41">
        <v>17950</v>
      </c>
      <c r="H15" s="41">
        <v>0</v>
      </c>
      <c r="I15" s="41">
        <v>0</v>
      </c>
      <c r="J15" s="41">
        <v>0</v>
      </c>
      <c r="K15" s="41">
        <v>0</v>
      </c>
      <c r="L15" s="128">
        <f>SUM(B15:K15)</f>
        <v>132696</v>
      </c>
      <c r="M15" s="42">
        <v>17950</v>
      </c>
      <c r="N15" s="42">
        <v>0</v>
      </c>
      <c r="O15" s="42">
        <v>0</v>
      </c>
      <c r="P15" s="42">
        <v>0</v>
      </c>
      <c r="Q15" s="42">
        <v>0</v>
      </c>
      <c r="R15" s="42">
        <v>24103</v>
      </c>
      <c r="S15" s="42">
        <v>0</v>
      </c>
      <c r="T15" s="42">
        <v>0</v>
      </c>
      <c r="U15" s="42">
        <v>0</v>
      </c>
      <c r="V15" s="42">
        <v>0</v>
      </c>
      <c r="W15" s="42">
        <v>17950</v>
      </c>
      <c r="X15" s="42">
        <v>0</v>
      </c>
      <c r="Y15" s="42">
        <v>0</v>
      </c>
      <c r="Z15" s="42">
        <v>0</v>
      </c>
      <c r="AA15" s="42">
        <v>0</v>
      </c>
      <c r="AB15" s="12">
        <f>SUM(M15:AA15)</f>
        <v>60003</v>
      </c>
      <c r="AC15" s="37">
        <f t="shared" si="1"/>
        <v>192699</v>
      </c>
    </row>
    <row r="16" spans="1:30" ht="18" x14ac:dyDescent="0.35">
      <c r="A16" s="77" t="s">
        <v>67</v>
      </c>
      <c r="B16" s="74">
        <f>SUM(B12:B15)</f>
        <v>259486.33333333299</v>
      </c>
      <c r="C16" s="74">
        <f t="shared" ref="C16:K16" si="4">SUM(C12:C15)</f>
        <v>155090.33333333299</v>
      </c>
      <c r="D16" s="74">
        <f t="shared" si="4"/>
        <v>165090.33333333299</v>
      </c>
      <c r="E16" s="74">
        <f t="shared" si="4"/>
        <v>53220</v>
      </c>
      <c r="F16" s="74">
        <f t="shared" si="4"/>
        <v>63720</v>
      </c>
      <c r="G16" s="74">
        <f t="shared" si="4"/>
        <v>197342</v>
      </c>
      <c r="H16" s="74">
        <f t="shared" si="4"/>
        <v>95905</v>
      </c>
      <c r="I16" s="74">
        <f t="shared" si="4"/>
        <v>100540</v>
      </c>
      <c r="J16" s="74">
        <f t="shared" si="4"/>
        <v>108450</v>
      </c>
      <c r="K16" s="74">
        <f t="shared" si="4"/>
        <v>115360</v>
      </c>
      <c r="L16" s="127">
        <f>SUM(B16:K16)</f>
        <v>1314203.9999999991</v>
      </c>
      <c r="M16" s="78">
        <f>SUM(M12:M15)</f>
        <v>225191</v>
      </c>
      <c r="N16" s="78">
        <f t="shared" ref="N16:AA16" si="5">SUM(N12:N15)</f>
        <v>115360</v>
      </c>
      <c r="O16" s="78">
        <f t="shared" si="5"/>
        <v>115360</v>
      </c>
      <c r="P16" s="78">
        <f t="shared" si="5"/>
        <v>115360</v>
      </c>
      <c r="Q16" s="78">
        <f t="shared" si="5"/>
        <v>115360</v>
      </c>
      <c r="R16" s="78">
        <f t="shared" si="5"/>
        <v>183966</v>
      </c>
      <c r="S16" s="78">
        <f t="shared" si="5"/>
        <v>115360</v>
      </c>
      <c r="T16" s="78">
        <f t="shared" si="5"/>
        <v>115360</v>
      </c>
      <c r="U16" s="78">
        <f t="shared" si="5"/>
        <v>115360</v>
      </c>
      <c r="V16" s="78">
        <f t="shared" si="5"/>
        <v>115360</v>
      </c>
      <c r="W16" s="78">
        <f t="shared" si="5"/>
        <v>278521</v>
      </c>
      <c r="X16" s="78">
        <f t="shared" si="5"/>
        <v>115360</v>
      </c>
      <c r="Y16" s="78">
        <f t="shared" si="5"/>
        <v>115360</v>
      </c>
      <c r="Z16" s="78">
        <f t="shared" si="5"/>
        <v>115360</v>
      </c>
      <c r="AA16" s="78">
        <f t="shared" si="5"/>
        <v>115360</v>
      </c>
      <c r="AB16" s="79">
        <f>SUM(M16:AA16)</f>
        <v>2071998</v>
      </c>
      <c r="AC16" s="80">
        <f t="shared" si="1"/>
        <v>3386201.9999999991</v>
      </c>
    </row>
    <row r="17" spans="1:29" ht="18" x14ac:dyDescent="0.35">
      <c r="A17" s="40"/>
      <c r="B17" s="41"/>
      <c r="C17" s="41"/>
      <c r="D17" s="41"/>
      <c r="E17" s="41"/>
      <c r="F17" s="41"/>
      <c r="G17" s="41"/>
      <c r="H17" s="41"/>
      <c r="I17" s="41"/>
      <c r="J17" s="41"/>
      <c r="K17" s="41"/>
      <c r="L17" s="127"/>
      <c r="M17" s="11"/>
      <c r="N17" s="11"/>
      <c r="O17" s="11"/>
      <c r="P17" s="11"/>
      <c r="Q17" s="11"/>
      <c r="R17" s="11"/>
      <c r="S17" s="11"/>
      <c r="T17" s="11"/>
      <c r="U17" s="11"/>
      <c r="V17" s="11"/>
      <c r="W17" s="11"/>
      <c r="X17" s="11"/>
      <c r="Y17" s="11"/>
      <c r="Z17" s="11"/>
      <c r="AA17" s="11"/>
      <c r="AB17" s="3"/>
      <c r="AC17" s="34"/>
    </row>
    <row r="18" spans="1:29" ht="18" x14ac:dyDescent="0.35">
      <c r="A18" s="43" t="s">
        <v>44</v>
      </c>
      <c r="B18" s="9"/>
      <c r="C18" s="9"/>
      <c r="D18" s="9"/>
      <c r="E18" s="9"/>
      <c r="F18" s="9"/>
      <c r="G18" s="9"/>
      <c r="H18" s="9"/>
      <c r="I18" s="9"/>
      <c r="J18" s="9"/>
      <c r="K18" s="9"/>
      <c r="L18" s="129"/>
      <c r="M18" s="11"/>
      <c r="N18" s="11"/>
      <c r="O18" s="11"/>
      <c r="P18" s="11"/>
      <c r="Q18" s="11"/>
      <c r="R18" s="11"/>
      <c r="S18" s="11"/>
      <c r="T18" s="11"/>
      <c r="U18" s="11"/>
      <c r="V18" s="11"/>
      <c r="W18" s="11"/>
      <c r="X18" s="11"/>
      <c r="Y18" s="11"/>
      <c r="Z18" s="11"/>
      <c r="AA18" s="11"/>
      <c r="AB18" s="3"/>
      <c r="AC18" s="34"/>
    </row>
    <row r="19" spans="1:29" ht="18" x14ac:dyDescent="0.35">
      <c r="A19" s="14" t="s">
        <v>59</v>
      </c>
      <c r="B19" s="9"/>
      <c r="C19" s="9"/>
      <c r="D19" s="9"/>
      <c r="E19" s="9"/>
      <c r="F19" s="9"/>
      <c r="G19" s="9">
        <v>30000</v>
      </c>
      <c r="H19" s="9">
        <v>45000</v>
      </c>
      <c r="I19" s="9">
        <v>45000</v>
      </c>
      <c r="J19" s="9">
        <v>60000</v>
      </c>
      <c r="K19" s="9">
        <v>60000</v>
      </c>
      <c r="L19" s="128">
        <f>SUM(C19:K19)</f>
        <v>240000</v>
      </c>
      <c r="M19" s="32">
        <v>60000</v>
      </c>
      <c r="N19" s="32">
        <v>60000</v>
      </c>
      <c r="O19" s="32">
        <v>60000</v>
      </c>
      <c r="P19" s="32">
        <v>60000</v>
      </c>
      <c r="Q19" s="32">
        <v>60000</v>
      </c>
      <c r="R19" s="32">
        <v>60000</v>
      </c>
      <c r="S19" s="32">
        <v>60000</v>
      </c>
      <c r="T19" s="32">
        <v>60000</v>
      </c>
      <c r="U19" s="32">
        <v>60000</v>
      </c>
      <c r="V19" s="32">
        <v>60000</v>
      </c>
      <c r="W19" s="32">
        <v>60000</v>
      </c>
      <c r="X19" s="32">
        <v>60000</v>
      </c>
      <c r="Y19" s="32">
        <v>60000</v>
      </c>
      <c r="Z19" s="32">
        <v>60000</v>
      </c>
      <c r="AA19" s="32">
        <v>60000</v>
      </c>
      <c r="AB19" s="12">
        <f t="shared" si="0"/>
        <v>900000</v>
      </c>
      <c r="AC19" s="37">
        <f t="shared" si="1"/>
        <v>1140000</v>
      </c>
    </row>
    <row r="20" spans="1:29" ht="18" x14ac:dyDescent="0.35">
      <c r="A20" s="44" t="s">
        <v>60</v>
      </c>
      <c r="B20" s="9"/>
      <c r="C20" s="9"/>
      <c r="D20" s="9"/>
      <c r="E20" s="9"/>
      <c r="F20" s="9"/>
      <c r="G20" s="9">
        <v>5000</v>
      </c>
      <c r="H20" s="9">
        <v>7500</v>
      </c>
      <c r="I20" s="9">
        <v>10000</v>
      </c>
      <c r="J20" s="9">
        <v>12500</v>
      </c>
      <c r="K20" s="9">
        <v>15000</v>
      </c>
      <c r="L20" s="128">
        <f>SUM(C20:K20)</f>
        <v>50000</v>
      </c>
      <c r="M20" s="32">
        <v>17500</v>
      </c>
      <c r="N20" s="32">
        <v>20000</v>
      </c>
      <c r="O20" s="32">
        <v>20000</v>
      </c>
      <c r="P20" s="32">
        <v>20000</v>
      </c>
      <c r="Q20" s="32">
        <v>20000</v>
      </c>
      <c r="R20" s="32">
        <v>20000</v>
      </c>
      <c r="S20" s="32">
        <v>20000</v>
      </c>
      <c r="T20" s="32">
        <v>20000</v>
      </c>
      <c r="U20" s="32">
        <v>20000</v>
      </c>
      <c r="V20" s="32">
        <v>20000</v>
      </c>
      <c r="W20" s="32">
        <v>20000</v>
      </c>
      <c r="X20" s="32">
        <v>20000</v>
      </c>
      <c r="Y20" s="32">
        <v>20000</v>
      </c>
      <c r="Z20" s="32">
        <v>20000</v>
      </c>
      <c r="AA20" s="32">
        <v>20000</v>
      </c>
      <c r="AB20" s="12">
        <f t="shared" si="0"/>
        <v>297500</v>
      </c>
      <c r="AC20" s="37">
        <f t="shared" si="1"/>
        <v>347500</v>
      </c>
    </row>
    <row r="21" spans="1:29" ht="18" x14ac:dyDescent="0.35">
      <c r="A21" s="44" t="s">
        <v>61</v>
      </c>
      <c r="B21" s="9"/>
      <c r="C21" s="9"/>
      <c r="D21" s="9"/>
      <c r="E21" s="9"/>
      <c r="F21" s="9"/>
      <c r="G21" s="9">
        <v>200</v>
      </c>
      <c r="H21" s="9">
        <v>1000</v>
      </c>
      <c r="I21" s="9">
        <v>2000</v>
      </c>
      <c r="J21" s="9">
        <v>3000</v>
      </c>
      <c r="K21" s="9">
        <v>4000</v>
      </c>
      <c r="L21" s="128">
        <f>SUM(C21:K21)</f>
        <v>10200</v>
      </c>
      <c r="M21" s="32">
        <v>5000</v>
      </c>
      <c r="N21" s="32">
        <v>5000</v>
      </c>
      <c r="O21" s="32">
        <v>5000</v>
      </c>
      <c r="P21" s="32">
        <v>5000</v>
      </c>
      <c r="Q21" s="32">
        <v>5000</v>
      </c>
      <c r="R21" s="32">
        <v>5000</v>
      </c>
      <c r="S21" s="32">
        <v>5000</v>
      </c>
      <c r="T21" s="32">
        <v>5000</v>
      </c>
      <c r="U21" s="32">
        <v>5000</v>
      </c>
      <c r="V21" s="32">
        <v>5000</v>
      </c>
      <c r="W21" s="32">
        <v>5000</v>
      </c>
      <c r="X21" s="32">
        <v>5000</v>
      </c>
      <c r="Y21" s="32">
        <v>5000</v>
      </c>
      <c r="Z21" s="32">
        <v>5000</v>
      </c>
      <c r="AA21" s="32">
        <v>5000</v>
      </c>
      <c r="AB21" s="12">
        <f t="shared" si="0"/>
        <v>75000</v>
      </c>
      <c r="AC21" s="37">
        <f t="shared" si="1"/>
        <v>85200</v>
      </c>
    </row>
    <row r="22" spans="1:29" ht="18" x14ac:dyDescent="0.35">
      <c r="A22" s="44" t="s">
        <v>62</v>
      </c>
      <c r="B22" s="9"/>
      <c r="C22" s="9"/>
      <c r="D22" s="9"/>
      <c r="E22" s="9"/>
      <c r="F22" s="9"/>
      <c r="G22" s="9">
        <v>4500</v>
      </c>
      <c r="H22" s="9">
        <v>7250</v>
      </c>
      <c r="I22" s="9">
        <v>7250</v>
      </c>
      <c r="J22" s="9">
        <v>9750</v>
      </c>
      <c r="K22" s="9">
        <v>9750</v>
      </c>
      <c r="L22" s="128">
        <f>SUM(C22:K22)</f>
        <v>38500</v>
      </c>
      <c r="M22" s="32">
        <v>11000</v>
      </c>
      <c r="N22" s="32">
        <v>11000</v>
      </c>
      <c r="O22" s="32">
        <v>11000</v>
      </c>
      <c r="P22" s="32">
        <v>11000</v>
      </c>
      <c r="Q22" s="32">
        <v>11000</v>
      </c>
      <c r="R22" s="32">
        <v>11000</v>
      </c>
      <c r="S22" s="32">
        <v>11000</v>
      </c>
      <c r="T22" s="32">
        <v>11000</v>
      </c>
      <c r="U22" s="32">
        <v>11000</v>
      </c>
      <c r="V22" s="32">
        <v>11000</v>
      </c>
      <c r="W22" s="32">
        <v>11000</v>
      </c>
      <c r="X22" s="32">
        <v>11000</v>
      </c>
      <c r="Y22" s="32">
        <v>11000</v>
      </c>
      <c r="Z22" s="32">
        <v>11000</v>
      </c>
      <c r="AA22" s="32">
        <v>11000</v>
      </c>
      <c r="AB22" s="12">
        <f t="shared" si="0"/>
        <v>165000</v>
      </c>
      <c r="AC22" s="37">
        <f t="shared" si="1"/>
        <v>203500</v>
      </c>
    </row>
    <row r="23" spans="1:29" ht="18" x14ac:dyDescent="0.35">
      <c r="A23" s="81" t="s">
        <v>63</v>
      </c>
      <c r="B23" s="74">
        <f>SUM(B19:B22)</f>
        <v>0</v>
      </c>
      <c r="C23" s="74">
        <f t="shared" ref="C23:K23" si="6">SUM(C19:C22)</f>
        <v>0</v>
      </c>
      <c r="D23" s="74">
        <f t="shared" si="6"/>
        <v>0</v>
      </c>
      <c r="E23" s="74">
        <f t="shared" si="6"/>
        <v>0</v>
      </c>
      <c r="F23" s="74">
        <f t="shared" si="6"/>
        <v>0</v>
      </c>
      <c r="G23" s="74">
        <f t="shared" si="6"/>
        <v>39700</v>
      </c>
      <c r="H23" s="74">
        <f t="shared" si="6"/>
        <v>60750</v>
      </c>
      <c r="I23" s="74">
        <f t="shared" si="6"/>
        <v>64250</v>
      </c>
      <c r="J23" s="74">
        <f t="shared" si="6"/>
        <v>85250</v>
      </c>
      <c r="K23" s="74">
        <f t="shared" si="6"/>
        <v>88750</v>
      </c>
      <c r="L23" s="130">
        <f>SUM(C23:K23)</f>
        <v>338700</v>
      </c>
      <c r="M23" s="126">
        <f>SUM(M19:M22)</f>
        <v>93500</v>
      </c>
      <c r="N23" s="78">
        <f t="shared" ref="N23:AA23" si="7">SUM(N19:N22)</f>
        <v>96000</v>
      </c>
      <c r="O23" s="78">
        <f t="shared" si="7"/>
        <v>96000</v>
      </c>
      <c r="P23" s="78">
        <f t="shared" si="7"/>
        <v>96000</v>
      </c>
      <c r="Q23" s="78">
        <f t="shared" si="7"/>
        <v>96000</v>
      </c>
      <c r="R23" s="78">
        <f t="shared" si="7"/>
        <v>96000</v>
      </c>
      <c r="S23" s="78">
        <f t="shared" si="7"/>
        <v>96000</v>
      </c>
      <c r="T23" s="78">
        <f t="shared" si="7"/>
        <v>96000</v>
      </c>
      <c r="U23" s="78">
        <f t="shared" si="7"/>
        <v>96000</v>
      </c>
      <c r="V23" s="78">
        <f t="shared" si="7"/>
        <v>96000</v>
      </c>
      <c r="W23" s="78">
        <f t="shared" si="7"/>
        <v>96000</v>
      </c>
      <c r="X23" s="78">
        <f t="shared" si="7"/>
        <v>96000</v>
      </c>
      <c r="Y23" s="78">
        <f t="shared" si="7"/>
        <v>96000</v>
      </c>
      <c r="Z23" s="78">
        <f t="shared" si="7"/>
        <v>96000</v>
      </c>
      <c r="AA23" s="78">
        <f t="shared" si="7"/>
        <v>96000</v>
      </c>
      <c r="AB23" s="79">
        <f t="shared" si="0"/>
        <v>1437500</v>
      </c>
      <c r="AC23" s="80">
        <f t="shared" si="1"/>
        <v>1776200</v>
      </c>
    </row>
    <row r="24" spans="1:29" ht="18" x14ac:dyDescent="0.35">
      <c r="A24" s="44"/>
      <c r="B24" s="9"/>
      <c r="C24" s="9"/>
      <c r="D24" s="9"/>
      <c r="E24" s="9"/>
      <c r="F24" s="9"/>
      <c r="G24" s="9"/>
      <c r="H24" s="9"/>
      <c r="I24" s="9"/>
      <c r="J24" s="9"/>
      <c r="K24" s="9"/>
      <c r="L24" s="129"/>
      <c r="M24" s="11"/>
      <c r="N24" s="11"/>
      <c r="O24" s="11"/>
      <c r="P24" s="11"/>
      <c r="Q24" s="11"/>
      <c r="R24" s="11"/>
      <c r="S24" s="11"/>
      <c r="T24" s="11"/>
      <c r="U24" s="11"/>
      <c r="V24" s="11"/>
      <c r="W24" s="11"/>
      <c r="X24" s="11"/>
      <c r="Y24" s="11"/>
      <c r="Z24" s="11"/>
      <c r="AA24" s="11"/>
      <c r="AB24" s="3"/>
      <c r="AC24" s="34"/>
    </row>
    <row r="25" spans="1:29" ht="18" x14ac:dyDescent="0.35">
      <c r="A25" s="46" t="s">
        <v>50</v>
      </c>
      <c r="B25" s="9"/>
      <c r="C25" s="9"/>
      <c r="D25" s="9"/>
      <c r="E25" s="9"/>
      <c r="F25" s="9"/>
      <c r="G25" s="9"/>
      <c r="H25" s="9"/>
      <c r="I25" s="9"/>
      <c r="J25" s="9"/>
      <c r="K25" s="9"/>
      <c r="L25" s="129"/>
      <c r="M25" s="11"/>
      <c r="N25" s="11"/>
      <c r="O25" s="11"/>
      <c r="P25" s="11"/>
      <c r="Q25" s="11"/>
      <c r="R25" s="11"/>
      <c r="S25" s="11"/>
      <c r="T25" s="11"/>
      <c r="U25" s="11"/>
      <c r="V25" s="11"/>
      <c r="W25" s="11"/>
      <c r="X25" s="11"/>
      <c r="Y25" s="11"/>
      <c r="Z25" s="11"/>
      <c r="AA25" s="11"/>
      <c r="AB25" s="3"/>
      <c r="AC25" s="34"/>
    </row>
    <row r="26" spans="1:29" ht="18" x14ac:dyDescent="0.35">
      <c r="A26" s="44" t="s">
        <v>64</v>
      </c>
      <c r="B26" s="9"/>
      <c r="C26" s="9"/>
      <c r="D26" s="9"/>
      <c r="E26" s="9"/>
      <c r="F26" s="9"/>
      <c r="G26" s="9"/>
      <c r="H26" s="9"/>
      <c r="I26" s="9"/>
      <c r="J26" s="9"/>
      <c r="K26" s="9"/>
      <c r="L26" s="128">
        <f>SUM(B26:K26)</f>
        <v>0</v>
      </c>
      <c r="M26" s="32">
        <v>2290</v>
      </c>
      <c r="N26" s="32">
        <v>2850</v>
      </c>
      <c r="O26" s="32">
        <v>5300</v>
      </c>
      <c r="P26" s="32">
        <v>6840</v>
      </c>
      <c r="Q26" s="32">
        <v>10090</v>
      </c>
      <c r="R26" s="32">
        <v>11520</v>
      </c>
      <c r="S26" s="32">
        <v>11520</v>
      </c>
      <c r="T26" s="32">
        <v>14150</v>
      </c>
      <c r="U26" s="32">
        <v>14640</v>
      </c>
      <c r="V26" s="32">
        <v>14640</v>
      </c>
      <c r="W26" s="32">
        <v>14640</v>
      </c>
      <c r="X26" s="32">
        <v>14640</v>
      </c>
      <c r="Y26" s="32">
        <v>14640</v>
      </c>
      <c r="Z26" s="32">
        <v>14640</v>
      </c>
      <c r="AA26" s="32">
        <v>14640</v>
      </c>
      <c r="AB26" s="12">
        <f t="shared" si="0"/>
        <v>167040</v>
      </c>
      <c r="AC26" s="37">
        <f t="shared" si="1"/>
        <v>167040</v>
      </c>
    </row>
    <row r="27" spans="1:29" ht="18" x14ac:dyDescent="0.35">
      <c r="A27" s="45" t="s">
        <v>68</v>
      </c>
      <c r="B27" s="74">
        <f>SUM(B26)</f>
        <v>0</v>
      </c>
      <c r="C27" s="74">
        <f t="shared" ref="C27:K27" si="8">SUM(C26)</f>
        <v>0</v>
      </c>
      <c r="D27" s="74">
        <f t="shared" si="8"/>
        <v>0</v>
      </c>
      <c r="E27" s="74">
        <f t="shared" si="8"/>
        <v>0</v>
      </c>
      <c r="F27" s="74">
        <f t="shared" si="8"/>
        <v>0</v>
      </c>
      <c r="G27" s="74">
        <f t="shared" si="8"/>
        <v>0</v>
      </c>
      <c r="H27" s="74">
        <f t="shared" si="8"/>
        <v>0</v>
      </c>
      <c r="I27" s="74">
        <f t="shared" si="8"/>
        <v>0</v>
      </c>
      <c r="J27" s="74">
        <f t="shared" si="8"/>
        <v>0</v>
      </c>
      <c r="K27" s="74">
        <f t="shared" si="8"/>
        <v>0</v>
      </c>
      <c r="L27" s="139">
        <f>SUM(B27:K27)</f>
        <v>0</v>
      </c>
      <c r="M27" s="126">
        <f>SUM(M26)</f>
        <v>2290</v>
      </c>
      <c r="N27" s="78">
        <f t="shared" ref="N27:AA27" si="9">SUM(N26)</f>
        <v>2850</v>
      </c>
      <c r="O27" s="78">
        <f t="shared" si="9"/>
        <v>5300</v>
      </c>
      <c r="P27" s="78">
        <f t="shared" si="9"/>
        <v>6840</v>
      </c>
      <c r="Q27" s="78">
        <f t="shared" si="9"/>
        <v>10090</v>
      </c>
      <c r="R27" s="78">
        <f t="shared" si="9"/>
        <v>11520</v>
      </c>
      <c r="S27" s="78">
        <f t="shared" si="9"/>
        <v>11520</v>
      </c>
      <c r="T27" s="78">
        <f t="shared" si="9"/>
        <v>14150</v>
      </c>
      <c r="U27" s="78">
        <f t="shared" si="9"/>
        <v>14640</v>
      </c>
      <c r="V27" s="78">
        <f t="shared" si="9"/>
        <v>14640</v>
      </c>
      <c r="W27" s="78">
        <f t="shared" si="9"/>
        <v>14640</v>
      </c>
      <c r="X27" s="78">
        <f t="shared" si="9"/>
        <v>14640</v>
      </c>
      <c r="Y27" s="78">
        <f t="shared" si="9"/>
        <v>14640</v>
      </c>
      <c r="Z27" s="78">
        <f t="shared" si="9"/>
        <v>14640</v>
      </c>
      <c r="AA27" s="78">
        <f t="shared" si="9"/>
        <v>14640</v>
      </c>
      <c r="AB27" s="79">
        <f t="shared" si="0"/>
        <v>167040</v>
      </c>
      <c r="AC27" s="80">
        <f t="shared" si="1"/>
        <v>167040</v>
      </c>
    </row>
    <row r="28" spans="1:29" ht="18" x14ac:dyDescent="0.35">
      <c r="A28" s="47"/>
      <c r="B28" s="9"/>
      <c r="C28" s="9"/>
      <c r="D28" s="9"/>
      <c r="E28" s="9"/>
      <c r="F28" s="9"/>
      <c r="G28" s="9"/>
      <c r="H28" s="9"/>
      <c r="I28" s="9"/>
      <c r="J28" s="9"/>
      <c r="K28" s="9"/>
      <c r="L28" s="129"/>
      <c r="M28" s="11"/>
      <c r="N28" s="11"/>
      <c r="O28" s="11"/>
      <c r="P28" s="11"/>
      <c r="Q28" s="11"/>
      <c r="R28" s="11"/>
      <c r="S28" s="11"/>
      <c r="T28" s="11"/>
      <c r="U28" s="11"/>
      <c r="V28" s="11"/>
      <c r="W28" s="11"/>
      <c r="X28" s="11"/>
      <c r="Y28" s="11"/>
      <c r="Z28" s="11"/>
      <c r="AA28" s="11"/>
      <c r="AB28" s="3"/>
      <c r="AC28" s="34"/>
    </row>
    <row r="29" spans="1:29" ht="18" x14ac:dyDescent="0.35">
      <c r="A29" s="75" t="s">
        <v>69</v>
      </c>
      <c r="B29" s="76">
        <f>B10+B16+B23+B27</f>
        <v>261178.33333333299</v>
      </c>
      <c r="C29" s="76">
        <f t="shared" ref="C29:K29" si="10">C10+C16+C23+C27</f>
        <v>165140.33333333299</v>
      </c>
      <c r="D29" s="76">
        <f t="shared" si="10"/>
        <v>177865.13333333298</v>
      </c>
      <c r="E29" s="76">
        <f t="shared" si="10"/>
        <v>71802</v>
      </c>
      <c r="F29" s="76">
        <f t="shared" si="10"/>
        <v>83148</v>
      </c>
      <c r="G29" s="76">
        <f t="shared" si="10"/>
        <v>257316</v>
      </c>
      <c r="H29" s="76">
        <f t="shared" si="10"/>
        <v>177775</v>
      </c>
      <c r="I29" s="76">
        <f t="shared" si="10"/>
        <v>185910</v>
      </c>
      <c r="J29" s="76">
        <f t="shared" si="10"/>
        <v>214820</v>
      </c>
      <c r="K29" s="76">
        <f t="shared" si="10"/>
        <v>225230</v>
      </c>
      <c r="L29" s="140">
        <f>SUM(B29:K29)</f>
        <v>1820184.7999999989</v>
      </c>
      <c r="M29" s="52">
        <f>M10+M16+M23+M27</f>
        <v>342101</v>
      </c>
      <c r="N29" s="52">
        <f t="shared" ref="N29:AA29" si="11">N10+N16+N23+N27</f>
        <v>235330</v>
      </c>
      <c r="O29" s="52">
        <f t="shared" si="11"/>
        <v>237780</v>
      </c>
      <c r="P29" s="52">
        <f>P10+P16+P23+P27</f>
        <v>239320</v>
      </c>
      <c r="Q29" s="52">
        <f t="shared" si="11"/>
        <v>242570</v>
      </c>
      <c r="R29" s="52">
        <f t="shared" si="11"/>
        <v>308406</v>
      </c>
      <c r="S29" s="52">
        <f t="shared" si="11"/>
        <v>244000</v>
      </c>
      <c r="T29" s="52">
        <f t="shared" si="11"/>
        <v>246630</v>
      </c>
      <c r="U29" s="52">
        <f t="shared" si="11"/>
        <v>247120</v>
      </c>
      <c r="V29" s="52">
        <f t="shared" si="11"/>
        <v>247120</v>
      </c>
      <c r="W29" s="52">
        <f t="shared" si="11"/>
        <v>410281</v>
      </c>
      <c r="X29" s="52">
        <f t="shared" si="11"/>
        <v>247120</v>
      </c>
      <c r="Y29" s="52">
        <f t="shared" si="11"/>
        <v>247120</v>
      </c>
      <c r="Z29" s="52">
        <f t="shared" si="11"/>
        <v>247120</v>
      </c>
      <c r="AA29" s="52">
        <f t="shared" si="11"/>
        <v>247120</v>
      </c>
      <c r="AB29" s="180">
        <f t="shared" si="0"/>
        <v>3989138</v>
      </c>
      <c r="AC29" s="48">
        <f t="shared" si="1"/>
        <v>5809322.7999999989</v>
      </c>
    </row>
    <row r="30" spans="1:29" x14ac:dyDescent="0.3">
      <c r="L30" s="141"/>
    </row>
    <row r="31" spans="1:29" ht="18" x14ac:dyDescent="0.35">
      <c r="A31" s="53" t="s">
        <v>93</v>
      </c>
      <c r="B31" s="53"/>
      <c r="C31" s="53"/>
      <c r="D31" s="53"/>
      <c r="E31" s="53"/>
      <c r="F31" s="53"/>
      <c r="G31" s="53"/>
      <c r="H31" s="53"/>
      <c r="I31" s="53"/>
      <c r="J31" s="53"/>
      <c r="K31" s="53"/>
      <c r="L31" s="129"/>
      <c r="M31" s="53"/>
      <c r="N31" s="53"/>
      <c r="O31" s="53"/>
      <c r="P31" s="53"/>
      <c r="Q31" s="53"/>
      <c r="R31" s="53"/>
      <c r="S31" s="53"/>
      <c r="T31" s="53"/>
      <c r="U31" s="53"/>
      <c r="V31" s="53"/>
      <c r="W31" s="53"/>
      <c r="X31" s="53"/>
      <c r="Y31" s="53"/>
      <c r="Z31" s="53"/>
      <c r="AA31" s="53"/>
      <c r="AB31" s="53"/>
      <c r="AC31" s="53"/>
    </row>
    <row r="32" spans="1:29" ht="18" x14ac:dyDescent="0.35">
      <c r="A32" s="33" t="s">
        <v>29</v>
      </c>
      <c r="B32" s="9"/>
      <c r="C32" s="9"/>
      <c r="D32" s="9"/>
      <c r="E32" s="9"/>
      <c r="F32" s="9"/>
      <c r="G32" s="9"/>
      <c r="H32" s="9"/>
      <c r="I32" s="9"/>
      <c r="J32" s="9"/>
      <c r="K32" s="9"/>
      <c r="L32" s="129"/>
      <c r="M32" s="11"/>
      <c r="N32" s="11"/>
      <c r="O32" s="11"/>
      <c r="P32" s="11"/>
      <c r="Q32" s="11"/>
      <c r="R32" s="11"/>
      <c r="S32" s="11"/>
      <c r="T32" s="11"/>
      <c r="U32" s="11"/>
      <c r="V32" s="11"/>
      <c r="W32" s="11"/>
      <c r="X32" s="11"/>
      <c r="Y32" s="11"/>
      <c r="Z32" s="11"/>
      <c r="AA32" s="11"/>
      <c r="AB32" s="3"/>
      <c r="AC32" s="34"/>
    </row>
    <row r="33" spans="1:29" ht="18" x14ac:dyDescent="0.35">
      <c r="A33" s="14" t="s">
        <v>53</v>
      </c>
      <c r="B33" s="9">
        <v>910</v>
      </c>
      <c r="C33" s="9">
        <v>910</v>
      </c>
      <c r="D33" s="9">
        <v>910</v>
      </c>
      <c r="E33" s="9">
        <v>910</v>
      </c>
      <c r="F33" s="9">
        <v>910</v>
      </c>
      <c r="G33" s="9">
        <v>910</v>
      </c>
      <c r="H33" s="9">
        <v>910</v>
      </c>
      <c r="I33" s="9">
        <v>910</v>
      </c>
      <c r="J33" s="9">
        <v>910</v>
      </c>
      <c r="K33" s="9">
        <v>910</v>
      </c>
      <c r="L33" s="128">
        <f>SUM(B33:K33)</f>
        <v>9100</v>
      </c>
      <c r="M33" s="32">
        <v>910</v>
      </c>
      <c r="N33" s="32">
        <v>910</v>
      </c>
      <c r="O33" s="32">
        <v>910</v>
      </c>
      <c r="P33" s="32">
        <v>910</v>
      </c>
      <c r="Q33" s="32">
        <v>910</v>
      </c>
      <c r="R33" s="32">
        <v>910</v>
      </c>
      <c r="S33" s="32">
        <v>910</v>
      </c>
      <c r="T33" s="32">
        <v>910</v>
      </c>
      <c r="U33" s="32">
        <v>910</v>
      </c>
      <c r="V33" s="32">
        <v>910</v>
      </c>
      <c r="W33" s="32">
        <v>910</v>
      </c>
      <c r="X33" s="32">
        <v>910</v>
      </c>
      <c r="Y33" s="32">
        <v>910</v>
      </c>
      <c r="Z33" s="32">
        <v>910</v>
      </c>
      <c r="AA33" s="32">
        <v>910</v>
      </c>
      <c r="AB33" s="12">
        <f t="shared" ref="AB33:AB54" si="12">SUM(M33:AA33)</f>
        <v>13650</v>
      </c>
      <c r="AC33" s="37">
        <f t="shared" ref="AC33:AC54" si="13">L33+AB33</f>
        <v>22750</v>
      </c>
    </row>
    <row r="34" spans="1:29" ht="18" x14ac:dyDescent="0.35">
      <c r="A34" s="14" t="s">
        <v>54</v>
      </c>
      <c r="B34" s="9"/>
      <c r="C34" s="9">
        <v>2688</v>
      </c>
      <c r="D34" s="9">
        <v>2718</v>
      </c>
      <c r="E34" s="9">
        <v>3738</v>
      </c>
      <c r="F34" s="9">
        <v>4728</v>
      </c>
      <c r="G34" s="9">
        <v>3738</v>
      </c>
      <c r="H34" s="9">
        <v>4038</v>
      </c>
      <c r="I34" s="9">
        <v>4728</v>
      </c>
      <c r="J34" s="9">
        <v>3738</v>
      </c>
      <c r="K34" s="9">
        <v>3738</v>
      </c>
      <c r="L34" s="128">
        <f>SUM(B34:K34)</f>
        <v>33852</v>
      </c>
      <c r="M34" s="32">
        <v>3738</v>
      </c>
      <c r="N34" s="32">
        <v>3738</v>
      </c>
      <c r="O34" s="32">
        <v>3738</v>
      </c>
      <c r="P34" s="32">
        <v>3738</v>
      </c>
      <c r="Q34" s="32">
        <v>3738</v>
      </c>
      <c r="R34" s="32">
        <v>3738</v>
      </c>
      <c r="S34" s="32">
        <v>3738</v>
      </c>
      <c r="T34" s="32">
        <v>3738</v>
      </c>
      <c r="U34" s="32">
        <v>3738</v>
      </c>
      <c r="V34" s="32">
        <v>3738</v>
      </c>
      <c r="W34" s="32">
        <v>3738</v>
      </c>
      <c r="X34" s="32">
        <v>3738</v>
      </c>
      <c r="Y34" s="32">
        <v>3738</v>
      </c>
      <c r="Z34" s="32">
        <v>3738</v>
      </c>
      <c r="AA34" s="32">
        <v>3738</v>
      </c>
      <c r="AB34" s="12">
        <f t="shared" si="12"/>
        <v>56070</v>
      </c>
      <c r="AC34" s="37">
        <f t="shared" si="13"/>
        <v>89922</v>
      </c>
    </row>
    <row r="35" spans="1:29" ht="18" x14ac:dyDescent="0.35">
      <c r="A35" s="77" t="s">
        <v>70</v>
      </c>
      <c r="B35" s="74">
        <f>SUM(B33:B34)</f>
        <v>910</v>
      </c>
      <c r="C35" s="74">
        <f t="shared" ref="C35:K35" si="14">SUM(C33:C34)</f>
        <v>3598</v>
      </c>
      <c r="D35" s="74">
        <f t="shared" si="14"/>
        <v>3628</v>
      </c>
      <c r="E35" s="74">
        <f t="shared" si="14"/>
        <v>4648</v>
      </c>
      <c r="F35" s="74">
        <f t="shared" si="14"/>
        <v>5638</v>
      </c>
      <c r="G35" s="74">
        <f t="shared" si="14"/>
        <v>4648</v>
      </c>
      <c r="H35" s="74">
        <f t="shared" si="14"/>
        <v>4948</v>
      </c>
      <c r="I35" s="74">
        <f t="shared" si="14"/>
        <v>5638</v>
      </c>
      <c r="J35" s="74">
        <f t="shared" si="14"/>
        <v>4648</v>
      </c>
      <c r="K35" s="74">
        <f t="shared" si="14"/>
        <v>4648</v>
      </c>
      <c r="L35" s="140">
        <f>SUM(B35:K35)</f>
        <v>42952</v>
      </c>
      <c r="M35" s="126">
        <f>SUM(M33:M34)</f>
        <v>4648</v>
      </c>
      <c r="N35" s="78">
        <f t="shared" ref="N35:AA35" si="15">SUM(N33:N34)</f>
        <v>4648</v>
      </c>
      <c r="O35" s="78">
        <f t="shared" si="15"/>
        <v>4648</v>
      </c>
      <c r="P35" s="78">
        <f t="shared" si="15"/>
        <v>4648</v>
      </c>
      <c r="Q35" s="78">
        <f t="shared" si="15"/>
        <v>4648</v>
      </c>
      <c r="R35" s="78">
        <f t="shared" si="15"/>
        <v>4648</v>
      </c>
      <c r="S35" s="78">
        <f t="shared" si="15"/>
        <v>4648</v>
      </c>
      <c r="T35" s="78">
        <f t="shared" si="15"/>
        <v>4648</v>
      </c>
      <c r="U35" s="78">
        <f t="shared" si="15"/>
        <v>4648</v>
      </c>
      <c r="V35" s="78">
        <f t="shared" si="15"/>
        <v>4648</v>
      </c>
      <c r="W35" s="78">
        <f t="shared" si="15"/>
        <v>4648</v>
      </c>
      <c r="X35" s="78">
        <f t="shared" si="15"/>
        <v>4648</v>
      </c>
      <c r="Y35" s="78">
        <f t="shared" si="15"/>
        <v>4648</v>
      </c>
      <c r="Z35" s="78">
        <f t="shared" si="15"/>
        <v>4648</v>
      </c>
      <c r="AA35" s="78">
        <f t="shared" si="15"/>
        <v>4648</v>
      </c>
      <c r="AB35" s="79">
        <f t="shared" si="12"/>
        <v>69720</v>
      </c>
      <c r="AC35" s="80">
        <f t="shared" si="13"/>
        <v>112672</v>
      </c>
    </row>
    <row r="36" spans="1:29" ht="18" x14ac:dyDescent="0.35">
      <c r="A36" s="40"/>
      <c r="B36" s="41"/>
      <c r="C36" s="41"/>
      <c r="D36" s="41"/>
      <c r="E36" s="41"/>
      <c r="F36" s="41"/>
      <c r="G36" s="41"/>
      <c r="H36" s="41"/>
      <c r="I36" s="41"/>
      <c r="J36" s="41"/>
      <c r="K36" s="41"/>
      <c r="L36" s="127"/>
      <c r="M36" s="42"/>
      <c r="N36" s="42"/>
      <c r="O36" s="42"/>
      <c r="P36" s="42"/>
      <c r="Q36" s="42"/>
      <c r="R36" s="42"/>
      <c r="S36" s="42"/>
      <c r="T36" s="42"/>
      <c r="U36" s="42"/>
      <c r="V36" s="42"/>
      <c r="W36" s="42"/>
      <c r="X36" s="42"/>
      <c r="Y36" s="42"/>
      <c r="Z36" s="42"/>
      <c r="AA36" s="42"/>
      <c r="AB36" s="3"/>
      <c r="AC36" s="34"/>
    </row>
    <row r="37" spans="1:29" ht="18" x14ac:dyDescent="0.35">
      <c r="A37" s="40" t="s">
        <v>55</v>
      </c>
      <c r="B37" s="41">
        <v>2810</v>
      </c>
      <c r="C37" s="41">
        <v>15355</v>
      </c>
      <c r="D37" s="41">
        <v>4070</v>
      </c>
      <c r="E37" s="41">
        <v>7560</v>
      </c>
      <c r="F37" s="41">
        <v>6110</v>
      </c>
      <c r="G37" s="41">
        <v>7135</v>
      </c>
      <c r="H37" s="41">
        <v>8848</v>
      </c>
      <c r="I37" s="41">
        <v>9960</v>
      </c>
      <c r="J37" s="41">
        <v>11160</v>
      </c>
      <c r="K37" s="41">
        <v>12360</v>
      </c>
      <c r="L37" s="128">
        <f>SUM(B37:K37)</f>
        <v>85368</v>
      </c>
      <c r="M37" s="42">
        <v>12360</v>
      </c>
      <c r="N37" s="42">
        <v>12360</v>
      </c>
      <c r="O37" s="42">
        <v>12360</v>
      </c>
      <c r="P37" s="42">
        <v>12360</v>
      </c>
      <c r="Q37" s="42">
        <v>12360</v>
      </c>
      <c r="R37" s="42">
        <v>12360</v>
      </c>
      <c r="S37" s="42">
        <v>12360</v>
      </c>
      <c r="T37" s="42">
        <v>12360</v>
      </c>
      <c r="U37" s="42">
        <v>12360</v>
      </c>
      <c r="V37" s="42">
        <v>12360</v>
      </c>
      <c r="W37" s="42">
        <v>12360</v>
      </c>
      <c r="X37" s="42">
        <v>12360</v>
      </c>
      <c r="Y37" s="42">
        <v>12360</v>
      </c>
      <c r="Z37" s="42">
        <v>12360</v>
      </c>
      <c r="AA37" s="42">
        <v>12360</v>
      </c>
      <c r="AB37" s="3">
        <f>SUM(M37:AA37)</f>
        <v>185400</v>
      </c>
      <c r="AC37" s="37">
        <f t="shared" si="13"/>
        <v>270768</v>
      </c>
    </row>
    <row r="38" spans="1:29" ht="18" x14ac:dyDescent="0.35">
      <c r="A38" s="40" t="s">
        <v>56</v>
      </c>
      <c r="B38" s="41">
        <v>10120</v>
      </c>
      <c r="C38" s="41">
        <v>100</v>
      </c>
      <c r="D38" s="41">
        <v>100</v>
      </c>
      <c r="E38" s="41">
        <v>100</v>
      </c>
      <c r="F38" s="41">
        <v>100</v>
      </c>
      <c r="G38" s="41">
        <v>1045</v>
      </c>
      <c r="H38" s="41">
        <v>145</v>
      </c>
      <c r="I38" s="41">
        <v>145</v>
      </c>
      <c r="J38" s="41">
        <v>145</v>
      </c>
      <c r="K38" s="41">
        <v>145</v>
      </c>
      <c r="L38" s="128">
        <f>SUM(B38:K38)</f>
        <v>12145</v>
      </c>
      <c r="M38" s="42">
        <v>145</v>
      </c>
      <c r="N38" s="42">
        <v>145</v>
      </c>
      <c r="O38" s="42">
        <v>145</v>
      </c>
      <c r="P38" s="42">
        <v>145</v>
      </c>
      <c r="Q38" s="42">
        <v>145</v>
      </c>
      <c r="R38" s="42">
        <v>145</v>
      </c>
      <c r="S38" s="42">
        <v>145</v>
      </c>
      <c r="T38" s="42">
        <v>145</v>
      </c>
      <c r="U38" s="42">
        <v>145</v>
      </c>
      <c r="V38" s="42">
        <v>145</v>
      </c>
      <c r="W38" s="42">
        <v>145</v>
      </c>
      <c r="X38" s="42">
        <v>145</v>
      </c>
      <c r="Y38" s="42">
        <v>3745</v>
      </c>
      <c r="Z38" s="42">
        <v>145</v>
      </c>
      <c r="AA38" s="42">
        <v>145</v>
      </c>
      <c r="AB38" s="3">
        <f>SUM(M38:AA38)</f>
        <v>5775</v>
      </c>
      <c r="AC38" s="37">
        <f t="shared" si="13"/>
        <v>17920</v>
      </c>
    </row>
    <row r="39" spans="1:29" ht="18" x14ac:dyDescent="0.35">
      <c r="A39" s="40" t="s">
        <v>57</v>
      </c>
      <c r="B39" s="41">
        <v>710</v>
      </c>
      <c r="C39" s="41">
        <v>1242</v>
      </c>
      <c r="D39" s="41">
        <v>1742</v>
      </c>
      <c r="E39" s="41">
        <v>5742</v>
      </c>
      <c r="F39" s="41">
        <v>2842</v>
      </c>
      <c r="G39" s="41">
        <v>3342</v>
      </c>
      <c r="H39" s="41">
        <v>3810</v>
      </c>
      <c r="I39" s="41">
        <v>3710</v>
      </c>
      <c r="J39" s="41">
        <v>3710</v>
      </c>
      <c r="K39" s="41">
        <v>3710</v>
      </c>
      <c r="L39" s="128">
        <f>SUM(B39:K39)</f>
        <v>30560</v>
      </c>
      <c r="M39" s="42">
        <v>3710</v>
      </c>
      <c r="N39" s="42">
        <v>3710</v>
      </c>
      <c r="O39" s="42">
        <v>3710</v>
      </c>
      <c r="P39" s="42">
        <v>3710</v>
      </c>
      <c r="Q39" s="42">
        <v>3710</v>
      </c>
      <c r="R39" s="42">
        <v>3710</v>
      </c>
      <c r="S39" s="42">
        <v>3710</v>
      </c>
      <c r="T39" s="42">
        <v>3710</v>
      </c>
      <c r="U39" s="42">
        <v>3710</v>
      </c>
      <c r="V39" s="42">
        <v>3710</v>
      </c>
      <c r="W39" s="42">
        <v>3710</v>
      </c>
      <c r="X39" s="42">
        <v>3710</v>
      </c>
      <c r="Y39" s="42">
        <v>3710</v>
      </c>
      <c r="Z39" s="42">
        <v>3710</v>
      </c>
      <c r="AA39" s="42">
        <v>3710</v>
      </c>
      <c r="AB39" s="3">
        <f>SUM(M39:AA39)</f>
        <v>55650</v>
      </c>
      <c r="AC39" s="37">
        <f t="shared" si="13"/>
        <v>86210</v>
      </c>
    </row>
    <row r="40" spans="1:29" ht="18" x14ac:dyDescent="0.35">
      <c r="A40" s="40" t="s">
        <v>58</v>
      </c>
      <c r="B40" s="41">
        <v>4500</v>
      </c>
      <c r="C40" s="41">
        <v>200</v>
      </c>
      <c r="D40" s="41">
        <v>200</v>
      </c>
      <c r="E40" s="41">
        <v>0</v>
      </c>
      <c r="F40" s="41">
        <v>300</v>
      </c>
      <c r="G40" s="41">
        <v>0</v>
      </c>
      <c r="H40" s="41">
        <v>0</v>
      </c>
      <c r="I40" s="41">
        <v>0</v>
      </c>
      <c r="J40" s="41">
        <v>0</v>
      </c>
      <c r="K40" s="41">
        <v>0</v>
      </c>
      <c r="L40" s="128">
        <f>SUM(B40:K40)</f>
        <v>5200</v>
      </c>
      <c r="M40" s="42">
        <v>0</v>
      </c>
      <c r="N40" s="42">
        <v>0</v>
      </c>
      <c r="O40" s="42">
        <v>0</v>
      </c>
      <c r="P40" s="42">
        <v>0</v>
      </c>
      <c r="Q40" s="42">
        <v>0</v>
      </c>
      <c r="R40" s="42">
        <v>0</v>
      </c>
      <c r="S40" s="42">
        <v>0</v>
      </c>
      <c r="T40" s="42">
        <v>0</v>
      </c>
      <c r="U40" s="42">
        <v>0</v>
      </c>
      <c r="V40" s="42">
        <v>0</v>
      </c>
      <c r="W40" s="42">
        <v>0</v>
      </c>
      <c r="X40" s="42">
        <v>0</v>
      </c>
      <c r="Y40" s="42">
        <v>0</v>
      </c>
      <c r="Z40" s="42">
        <v>0</v>
      </c>
      <c r="AA40" s="42">
        <v>0</v>
      </c>
      <c r="AB40" s="3">
        <f>SUM(M40:AA40)</f>
        <v>0</v>
      </c>
      <c r="AC40" s="37">
        <f t="shared" si="13"/>
        <v>5200</v>
      </c>
    </row>
    <row r="41" spans="1:29" ht="18" x14ac:dyDescent="0.35">
      <c r="A41" s="77" t="s">
        <v>67</v>
      </c>
      <c r="B41" s="82">
        <f>SUM(B37:B40)</f>
        <v>18140</v>
      </c>
      <c r="C41" s="82">
        <f t="shared" ref="C41:K41" si="16">SUM(C37:C40)</f>
        <v>16897</v>
      </c>
      <c r="D41" s="82">
        <f t="shared" si="16"/>
        <v>6112</v>
      </c>
      <c r="E41" s="82">
        <f t="shared" si="16"/>
        <v>13402</v>
      </c>
      <c r="F41" s="82">
        <f t="shared" si="16"/>
        <v>9352</v>
      </c>
      <c r="G41" s="82">
        <f t="shared" si="16"/>
        <v>11522</v>
      </c>
      <c r="H41" s="82">
        <f t="shared" si="16"/>
        <v>12803</v>
      </c>
      <c r="I41" s="82">
        <f t="shared" si="16"/>
        <v>13815</v>
      </c>
      <c r="J41" s="82">
        <f t="shared" si="16"/>
        <v>15015</v>
      </c>
      <c r="K41" s="82">
        <f t="shared" si="16"/>
        <v>16215</v>
      </c>
      <c r="L41" s="140">
        <f>SUM(B41:K41)</f>
        <v>133273</v>
      </c>
      <c r="M41" s="142">
        <f>SUM(M37:M40)</f>
        <v>16215</v>
      </c>
      <c r="N41" s="83">
        <f t="shared" ref="N41:AA41" si="17">SUM(N37:N40)</f>
        <v>16215</v>
      </c>
      <c r="O41" s="83">
        <f t="shared" si="17"/>
        <v>16215</v>
      </c>
      <c r="P41" s="83">
        <f t="shared" si="17"/>
        <v>16215</v>
      </c>
      <c r="Q41" s="83">
        <f t="shared" si="17"/>
        <v>16215</v>
      </c>
      <c r="R41" s="83">
        <f t="shared" si="17"/>
        <v>16215</v>
      </c>
      <c r="S41" s="83">
        <f t="shared" si="17"/>
        <v>16215</v>
      </c>
      <c r="T41" s="83">
        <f t="shared" si="17"/>
        <v>16215</v>
      </c>
      <c r="U41" s="83">
        <f t="shared" si="17"/>
        <v>16215</v>
      </c>
      <c r="V41" s="83">
        <f t="shared" si="17"/>
        <v>16215</v>
      </c>
      <c r="W41" s="83">
        <f t="shared" si="17"/>
        <v>16215</v>
      </c>
      <c r="X41" s="83">
        <f t="shared" si="17"/>
        <v>16215</v>
      </c>
      <c r="Y41" s="83">
        <f t="shared" si="17"/>
        <v>19815</v>
      </c>
      <c r="Z41" s="83">
        <f t="shared" si="17"/>
        <v>16215</v>
      </c>
      <c r="AA41" s="83">
        <f t="shared" si="17"/>
        <v>16215</v>
      </c>
      <c r="AB41" s="79">
        <f>SUM(M41:AA41)</f>
        <v>246825</v>
      </c>
      <c r="AC41" s="80">
        <f t="shared" si="13"/>
        <v>380098</v>
      </c>
    </row>
    <row r="42" spans="1:29" ht="18" x14ac:dyDescent="0.35">
      <c r="A42" s="43"/>
      <c r="B42" s="9"/>
      <c r="C42" s="9"/>
      <c r="D42" s="9"/>
      <c r="E42" s="9"/>
      <c r="F42" s="9"/>
      <c r="G42" s="9"/>
      <c r="H42" s="9"/>
      <c r="I42" s="9"/>
      <c r="J42" s="9"/>
      <c r="K42" s="9"/>
      <c r="L42" s="127"/>
      <c r="M42" s="11"/>
      <c r="N42" s="11"/>
      <c r="O42" s="11"/>
      <c r="P42" s="11"/>
      <c r="Q42" s="11"/>
      <c r="R42" s="11"/>
      <c r="S42" s="11"/>
      <c r="T42" s="11"/>
      <c r="U42" s="11"/>
      <c r="V42" s="11"/>
      <c r="W42" s="11"/>
      <c r="X42" s="11"/>
      <c r="Y42" s="11"/>
      <c r="Z42" s="11"/>
      <c r="AA42" s="11"/>
      <c r="AB42" s="3"/>
      <c r="AC42" s="34"/>
    </row>
    <row r="43" spans="1:29" ht="18" x14ac:dyDescent="0.35">
      <c r="A43" s="43" t="s">
        <v>44</v>
      </c>
      <c r="B43" s="9"/>
      <c r="C43" s="9"/>
      <c r="D43" s="9"/>
      <c r="E43" s="9"/>
      <c r="F43" s="9"/>
      <c r="G43" s="9"/>
      <c r="H43" s="9"/>
      <c r="I43" s="9"/>
      <c r="J43" s="9"/>
      <c r="K43" s="9"/>
      <c r="L43" s="127"/>
      <c r="M43" s="11"/>
      <c r="N43" s="11"/>
      <c r="O43" s="11"/>
      <c r="P43" s="11"/>
      <c r="Q43" s="11"/>
      <c r="R43" s="11"/>
      <c r="S43" s="11"/>
      <c r="T43" s="11"/>
      <c r="U43" s="11"/>
      <c r="V43" s="11"/>
      <c r="W43" s="11"/>
      <c r="X43" s="11"/>
      <c r="Y43" s="11"/>
      <c r="Z43" s="11"/>
      <c r="AA43" s="11"/>
      <c r="AB43" s="3"/>
      <c r="AC43" s="34"/>
    </row>
    <row r="44" spans="1:29" ht="18" x14ac:dyDescent="0.35">
      <c r="A44" s="14" t="s">
        <v>59</v>
      </c>
      <c r="B44" s="9"/>
      <c r="C44" s="9"/>
      <c r="D44" s="9"/>
      <c r="E44" s="9"/>
      <c r="F44" s="9"/>
      <c r="G44" s="9">
        <v>10500</v>
      </c>
      <c r="H44" s="9">
        <v>14250</v>
      </c>
      <c r="I44" s="9">
        <v>14450</v>
      </c>
      <c r="J44" s="9">
        <v>18400</v>
      </c>
      <c r="K44" s="9">
        <v>18750</v>
      </c>
      <c r="L44" s="128">
        <f>SUM(B44:K44)</f>
        <v>76350</v>
      </c>
      <c r="M44" s="32">
        <v>19000</v>
      </c>
      <c r="N44" s="32">
        <v>19500</v>
      </c>
      <c r="O44" s="32">
        <v>19500</v>
      </c>
      <c r="P44" s="32">
        <v>19500</v>
      </c>
      <c r="Q44" s="32">
        <v>19500</v>
      </c>
      <c r="R44" s="32">
        <v>19500</v>
      </c>
      <c r="S44" s="32">
        <v>19500</v>
      </c>
      <c r="T44" s="32">
        <v>19500</v>
      </c>
      <c r="U44" s="32">
        <v>19500</v>
      </c>
      <c r="V44" s="32">
        <v>19500</v>
      </c>
      <c r="W44" s="32">
        <v>19500</v>
      </c>
      <c r="X44" s="32">
        <v>19500</v>
      </c>
      <c r="Y44" s="32">
        <v>19500</v>
      </c>
      <c r="Z44" s="32">
        <v>19500</v>
      </c>
      <c r="AA44" s="32">
        <v>19500</v>
      </c>
      <c r="AB44" s="12">
        <f t="shared" si="12"/>
        <v>292000</v>
      </c>
      <c r="AC44" s="37">
        <f t="shared" si="13"/>
        <v>368350</v>
      </c>
    </row>
    <row r="45" spans="1:29" ht="18" x14ac:dyDescent="0.35">
      <c r="A45" s="44" t="s">
        <v>60</v>
      </c>
      <c r="B45" s="9"/>
      <c r="C45" s="9"/>
      <c r="D45" s="9"/>
      <c r="E45" s="9"/>
      <c r="F45" s="9"/>
      <c r="G45" s="9">
        <v>1250</v>
      </c>
      <c r="H45" s="9">
        <v>1875</v>
      </c>
      <c r="I45" s="9">
        <v>2500</v>
      </c>
      <c r="J45" s="9">
        <v>3125</v>
      </c>
      <c r="K45" s="9">
        <v>3750</v>
      </c>
      <c r="L45" s="128">
        <f>SUM(B45:K45)</f>
        <v>12500</v>
      </c>
      <c r="M45" s="32">
        <v>4375</v>
      </c>
      <c r="N45" s="32">
        <v>5000</v>
      </c>
      <c r="O45" s="32">
        <v>5000</v>
      </c>
      <c r="P45" s="32">
        <v>5000</v>
      </c>
      <c r="Q45" s="32">
        <v>5000</v>
      </c>
      <c r="R45" s="32">
        <v>5000</v>
      </c>
      <c r="S45" s="32">
        <v>5000</v>
      </c>
      <c r="T45" s="32">
        <v>5000</v>
      </c>
      <c r="U45" s="32">
        <v>5000</v>
      </c>
      <c r="V45" s="32">
        <v>5000</v>
      </c>
      <c r="W45" s="32">
        <v>5000</v>
      </c>
      <c r="X45" s="32">
        <v>5000</v>
      </c>
      <c r="Y45" s="32">
        <v>5000</v>
      </c>
      <c r="Z45" s="32">
        <v>5000</v>
      </c>
      <c r="AA45" s="32">
        <v>5000</v>
      </c>
      <c r="AB45" s="12">
        <f t="shared" si="12"/>
        <v>74375</v>
      </c>
      <c r="AC45" s="37">
        <f t="shared" si="13"/>
        <v>86875</v>
      </c>
    </row>
    <row r="46" spans="1:29" ht="18" x14ac:dyDescent="0.35">
      <c r="A46" s="44" t="s">
        <v>61</v>
      </c>
      <c r="B46" s="9"/>
      <c r="C46" s="9"/>
      <c r="D46" s="9"/>
      <c r="E46" s="9"/>
      <c r="F46" s="9"/>
      <c r="G46" s="9">
        <v>150</v>
      </c>
      <c r="H46" s="9">
        <v>150</v>
      </c>
      <c r="I46" s="9">
        <v>150</v>
      </c>
      <c r="J46" s="9">
        <v>150</v>
      </c>
      <c r="K46" s="9">
        <v>150</v>
      </c>
      <c r="L46" s="128">
        <f>SUM(B46:K46)</f>
        <v>750</v>
      </c>
      <c r="M46" s="32">
        <v>150</v>
      </c>
      <c r="N46" s="32">
        <v>150</v>
      </c>
      <c r="O46" s="32">
        <v>150</v>
      </c>
      <c r="P46" s="32">
        <v>150</v>
      </c>
      <c r="Q46" s="32">
        <v>150</v>
      </c>
      <c r="R46" s="32">
        <v>150</v>
      </c>
      <c r="S46" s="32">
        <v>150</v>
      </c>
      <c r="T46" s="32">
        <v>150</v>
      </c>
      <c r="U46" s="32">
        <v>150</v>
      </c>
      <c r="V46" s="32">
        <v>150</v>
      </c>
      <c r="W46" s="32">
        <v>150</v>
      </c>
      <c r="X46" s="32">
        <v>150</v>
      </c>
      <c r="Y46" s="32">
        <v>150</v>
      </c>
      <c r="Z46" s="32">
        <v>150</v>
      </c>
      <c r="AA46" s="32">
        <v>150</v>
      </c>
      <c r="AB46" s="12">
        <f t="shared" si="12"/>
        <v>2250</v>
      </c>
      <c r="AC46" s="37">
        <f t="shared" si="13"/>
        <v>3000</v>
      </c>
    </row>
    <row r="47" spans="1:29" ht="18" x14ac:dyDescent="0.35">
      <c r="A47" s="44" t="s">
        <v>62</v>
      </c>
      <c r="B47" s="9"/>
      <c r="C47" s="9"/>
      <c r="D47" s="9"/>
      <c r="E47" s="9"/>
      <c r="F47" s="9"/>
      <c r="G47" s="9">
        <v>464</v>
      </c>
      <c r="H47" s="9">
        <v>689</v>
      </c>
      <c r="I47" s="9">
        <v>689</v>
      </c>
      <c r="J47" s="9">
        <v>764</v>
      </c>
      <c r="K47" s="9">
        <v>764</v>
      </c>
      <c r="L47" s="128">
        <f>SUM(B47:K47)</f>
        <v>3370</v>
      </c>
      <c r="M47" s="32">
        <v>839</v>
      </c>
      <c r="N47" s="32">
        <v>839</v>
      </c>
      <c r="O47" s="32">
        <v>839</v>
      </c>
      <c r="P47" s="32">
        <v>839</v>
      </c>
      <c r="Q47" s="32">
        <v>839</v>
      </c>
      <c r="R47" s="32">
        <v>839</v>
      </c>
      <c r="S47" s="32">
        <v>839</v>
      </c>
      <c r="T47" s="32">
        <v>839</v>
      </c>
      <c r="U47" s="32">
        <v>839</v>
      </c>
      <c r="V47" s="32">
        <v>839</v>
      </c>
      <c r="W47" s="32">
        <v>839</v>
      </c>
      <c r="X47" s="32">
        <v>839</v>
      </c>
      <c r="Y47" s="32">
        <v>839</v>
      </c>
      <c r="Z47" s="32">
        <v>839</v>
      </c>
      <c r="AA47" s="32">
        <v>839</v>
      </c>
      <c r="AB47" s="12">
        <f t="shared" si="12"/>
        <v>12585</v>
      </c>
      <c r="AC47" s="37">
        <f t="shared" si="13"/>
        <v>15955</v>
      </c>
    </row>
    <row r="48" spans="1:29" ht="18" x14ac:dyDescent="0.35">
      <c r="A48" s="81" t="s">
        <v>71</v>
      </c>
      <c r="B48" s="74">
        <f t="shared" ref="B48:K48" si="18">SUM(B44:B47)</f>
        <v>0</v>
      </c>
      <c r="C48" s="74">
        <f t="shared" si="18"/>
        <v>0</v>
      </c>
      <c r="D48" s="74">
        <f t="shared" si="18"/>
        <v>0</v>
      </c>
      <c r="E48" s="74">
        <f t="shared" si="18"/>
        <v>0</v>
      </c>
      <c r="F48" s="74">
        <f t="shared" si="18"/>
        <v>0</v>
      </c>
      <c r="G48" s="74">
        <f t="shared" si="18"/>
        <v>12364</v>
      </c>
      <c r="H48" s="74">
        <f t="shared" si="18"/>
        <v>16964</v>
      </c>
      <c r="I48" s="74">
        <f t="shared" si="18"/>
        <v>17789</v>
      </c>
      <c r="J48" s="74">
        <f t="shared" si="18"/>
        <v>22439</v>
      </c>
      <c r="K48" s="74">
        <f t="shared" si="18"/>
        <v>23414</v>
      </c>
      <c r="L48" s="140">
        <f>SUM(B48:K48)</f>
        <v>92970</v>
      </c>
      <c r="M48" s="126">
        <f>SUM(M44:M47)</f>
        <v>24364</v>
      </c>
      <c r="N48" s="78">
        <f t="shared" ref="N48:AA48" si="19">SUM(N44:N47)</f>
        <v>25489</v>
      </c>
      <c r="O48" s="78">
        <f t="shared" si="19"/>
        <v>25489</v>
      </c>
      <c r="P48" s="78">
        <f t="shared" si="19"/>
        <v>25489</v>
      </c>
      <c r="Q48" s="78">
        <f t="shared" si="19"/>
        <v>25489</v>
      </c>
      <c r="R48" s="78">
        <f t="shared" si="19"/>
        <v>25489</v>
      </c>
      <c r="S48" s="78">
        <f t="shared" si="19"/>
        <v>25489</v>
      </c>
      <c r="T48" s="78">
        <f t="shared" si="19"/>
        <v>25489</v>
      </c>
      <c r="U48" s="78">
        <f t="shared" si="19"/>
        <v>25489</v>
      </c>
      <c r="V48" s="78">
        <f t="shared" si="19"/>
        <v>25489</v>
      </c>
      <c r="W48" s="78">
        <f t="shared" si="19"/>
        <v>25489</v>
      </c>
      <c r="X48" s="78">
        <f t="shared" si="19"/>
        <v>25489</v>
      </c>
      <c r="Y48" s="78">
        <f t="shared" si="19"/>
        <v>25489</v>
      </c>
      <c r="Z48" s="78">
        <f t="shared" si="19"/>
        <v>25489</v>
      </c>
      <c r="AA48" s="78">
        <f t="shared" si="19"/>
        <v>25489</v>
      </c>
      <c r="AB48" s="79">
        <f t="shared" si="12"/>
        <v>381210</v>
      </c>
      <c r="AC48" s="80">
        <f t="shared" si="13"/>
        <v>474180</v>
      </c>
    </row>
    <row r="49" spans="1:30" ht="18" x14ac:dyDescent="0.35">
      <c r="A49" s="44"/>
      <c r="B49" s="9"/>
      <c r="C49" s="9"/>
      <c r="D49" s="9"/>
      <c r="E49" s="9"/>
      <c r="F49" s="9"/>
      <c r="G49" s="9"/>
      <c r="H49" s="9"/>
      <c r="I49" s="9"/>
      <c r="J49" s="9"/>
      <c r="K49" s="9"/>
      <c r="L49" s="129"/>
      <c r="M49" s="11"/>
      <c r="N49" s="11"/>
      <c r="O49" s="11"/>
      <c r="P49" s="11"/>
      <c r="Q49" s="11"/>
      <c r="R49" s="11"/>
      <c r="S49" s="11"/>
      <c r="T49" s="11"/>
      <c r="U49" s="11"/>
      <c r="V49" s="11"/>
      <c r="W49" s="11"/>
      <c r="X49" s="11"/>
      <c r="Y49" s="11"/>
      <c r="Z49" s="11"/>
      <c r="AA49" s="11"/>
      <c r="AB49" s="3"/>
      <c r="AC49" s="34"/>
    </row>
    <row r="50" spans="1:30" ht="18" x14ac:dyDescent="0.35">
      <c r="A50" s="46" t="s">
        <v>50</v>
      </c>
      <c r="B50" s="55"/>
      <c r="C50" s="55"/>
      <c r="D50" s="55"/>
      <c r="E50" s="55"/>
      <c r="F50" s="55"/>
      <c r="G50" s="55"/>
      <c r="H50" s="55"/>
      <c r="I50" s="55"/>
      <c r="J50" s="55"/>
      <c r="K50" s="55"/>
      <c r="L50" s="127"/>
      <c r="M50" s="46"/>
      <c r="N50" s="46"/>
      <c r="O50" s="46"/>
      <c r="P50" s="46"/>
      <c r="Q50" s="46"/>
      <c r="R50" s="46"/>
      <c r="S50" s="46"/>
      <c r="T50" s="46"/>
      <c r="U50" s="46"/>
      <c r="V50" s="46"/>
      <c r="W50" s="46"/>
      <c r="X50" s="46"/>
      <c r="Y50" s="46"/>
      <c r="Z50" s="46"/>
      <c r="AA50" s="46"/>
      <c r="AB50" s="3"/>
      <c r="AC50" s="34"/>
      <c r="AD50" s="56"/>
    </row>
    <row r="51" spans="1:30" ht="18" x14ac:dyDescent="0.35">
      <c r="A51" s="44" t="s">
        <v>64</v>
      </c>
      <c r="B51" s="9"/>
      <c r="C51" s="9"/>
      <c r="D51" s="9"/>
      <c r="E51" s="9"/>
      <c r="F51" s="9"/>
      <c r="G51" s="9"/>
      <c r="H51" s="9"/>
      <c r="I51" s="9"/>
      <c r="J51" s="9"/>
      <c r="K51" s="9"/>
      <c r="L51" s="129"/>
      <c r="M51" s="32">
        <v>464</v>
      </c>
      <c r="N51" s="32">
        <v>295</v>
      </c>
      <c r="O51" s="32">
        <v>540</v>
      </c>
      <c r="P51" s="32">
        <v>694</v>
      </c>
      <c r="Q51" s="32">
        <v>1469</v>
      </c>
      <c r="R51" s="32">
        <v>1162</v>
      </c>
      <c r="S51" s="32">
        <v>1162</v>
      </c>
      <c r="T51" s="32">
        <v>1425</v>
      </c>
      <c r="U51" s="32">
        <v>1474</v>
      </c>
      <c r="V51" s="32">
        <v>1474</v>
      </c>
      <c r="W51" s="32">
        <v>1474</v>
      </c>
      <c r="X51" s="32">
        <v>1474</v>
      </c>
      <c r="Y51" s="32">
        <v>1474</v>
      </c>
      <c r="Z51" s="32">
        <v>1474</v>
      </c>
      <c r="AA51" s="32">
        <v>1474</v>
      </c>
      <c r="AB51" s="12">
        <f t="shared" si="12"/>
        <v>17529</v>
      </c>
      <c r="AC51" s="37">
        <f t="shared" si="13"/>
        <v>17529</v>
      </c>
    </row>
    <row r="52" spans="1:30" ht="18" x14ac:dyDescent="0.35">
      <c r="A52" s="81" t="s">
        <v>68</v>
      </c>
      <c r="B52" s="82">
        <f>SUM(B51)</f>
        <v>0</v>
      </c>
      <c r="C52" s="82">
        <f t="shared" ref="C52:K52" si="20">SUM(C51)</f>
        <v>0</v>
      </c>
      <c r="D52" s="82">
        <f t="shared" si="20"/>
        <v>0</v>
      </c>
      <c r="E52" s="82">
        <f t="shared" si="20"/>
        <v>0</v>
      </c>
      <c r="F52" s="82">
        <f t="shared" si="20"/>
        <v>0</v>
      </c>
      <c r="G52" s="82">
        <f t="shared" si="20"/>
        <v>0</v>
      </c>
      <c r="H52" s="82">
        <f t="shared" si="20"/>
        <v>0</v>
      </c>
      <c r="I52" s="82">
        <f t="shared" si="20"/>
        <v>0</v>
      </c>
      <c r="J52" s="82">
        <f t="shared" si="20"/>
        <v>0</v>
      </c>
      <c r="K52" s="82">
        <f t="shared" si="20"/>
        <v>0</v>
      </c>
      <c r="L52" s="140">
        <f>SUM(B52:K52)</f>
        <v>0</v>
      </c>
      <c r="M52" s="126">
        <f>SUM(M51)</f>
        <v>464</v>
      </c>
      <c r="N52" s="78">
        <f t="shared" ref="N52:AA52" si="21">SUM(N51)</f>
        <v>295</v>
      </c>
      <c r="O52" s="78">
        <f t="shared" si="21"/>
        <v>540</v>
      </c>
      <c r="P52" s="78">
        <f t="shared" si="21"/>
        <v>694</v>
      </c>
      <c r="Q52" s="78">
        <f t="shared" si="21"/>
        <v>1469</v>
      </c>
      <c r="R52" s="78">
        <v>1162</v>
      </c>
      <c r="S52" s="78">
        <f t="shared" si="21"/>
        <v>1162</v>
      </c>
      <c r="T52" s="78">
        <f t="shared" si="21"/>
        <v>1425</v>
      </c>
      <c r="U52" s="78">
        <f t="shared" si="21"/>
        <v>1474</v>
      </c>
      <c r="V52" s="78">
        <f t="shared" si="21"/>
        <v>1474</v>
      </c>
      <c r="W52" s="78">
        <f t="shared" si="21"/>
        <v>1474</v>
      </c>
      <c r="X52" s="78">
        <f t="shared" si="21"/>
        <v>1474</v>
      </c>
      <c r="Y52" s="78">
        <f t="shared" si="21"/>
        <v>1474</v>
      </c>
      <c r="Z52" s="78">
        <f t="shared" si="21"/>
        <v>1474</v>
      </c>
      <c r="AA52" s="78">
        <f t="shared" si="21"/>
        <v>1474</v>
      </c>
      <c r="AB52" s="79">
        <f t="shared" si="12"/>
        <v>17529</v>
      </c>
      <c r="AC52" s="80">
        <f t="shared" si="13"/>
        <v>17529</v>
      </c>
    </row>
    <row r="53" spans="1:30" ht="18" x14ac:dyDescent="0.35">
      <c r="A53" s="47"/>
      <c r="B53" s="9"/>
      <c r="C53" s="9"/>
      <c r="D53" s="9"/>
      <c r="E53" s="9"/>
      <c r="F53" s="9"/>
      <c r="G53" s="9"/>
      <c r="H53" s="9"/>
      <c r="I53" s="9"/>
      <c r="J53" s="9"/>
      <c r="K53" s="9"/>
      <c r="L53" s="127"/>
      <c r="M53" s="11"/>
      <c r="N53" s="11"/>
      <c r="O53" s="11"/>
      <c r="P53" s="11"/>
      <c r="Q53" s="11"/>
      <c r="R53" s="11"/>
      <c r="S53" s="11"/>
      <c r="T53" s="11"/>
      <c r="U53" s="11"/>
      <c r="V53" s="11"/>
      <c r="W53" s="11"/>
      <c r="X53" s="11"/>
      <c r="Y53" s="11"/>
      <c r="Z53" s="11"/>
      <c r="AA53" s="11"/>
      <c r="AB53" s="3"/>
      <c r="AC53" s="34"/>
    </row>
    <row r="54" spans="1:30" ht="18" x14ac:dyDescent="0.35">
      <c r="A54" s="119" t="s">
        <v>72</v>
      </c>
      <c r="B54" s="117">
        <f>B35+B41+B48+B52</f>
        <v>19050</v>
      </c>
      <c r="C54" s="117">
        <f>C35+C41+C48+C52</f>
        <v>20495</v>
      </c>
      <c r="D54" s="117">
        <f t="shared" ref="D54:AA54" si="22">D35+D41+D48+D52</f>
        <v>9740</v>
      </c>
      <c r="E54" s="117">
        <f t="shared" si="22"/>
        <v>18050</v>
      </c>
      <c r="F54" s="117">
        <f t="shared" si="22"/>
        <v>14990</v>
      </c>
      <c r="G54" s="117">
        <f t="shared" si="22"/>
        <v>28534</v>
      </c>
      <c r="H54" s="117">
        <f t="shared" si="22"/>
        <v>34715</v>
      </c>
      <c r="I54" s="117">
        <f t="shared" si="22"/>
        <v>37242</v>
      </c>
      <c r="J54" s="117">
        <f t="shared" si="22"/>
        <v>42102</v>
      </c>
      <c r="K54" s="117">
        <f t="shared" si="22"/>
        <v>44277</v>
      </c>
      <c r="L54" s="131">
        <f>SUM(B54:K54)</f>
        <v>269195</v>
      </c>
      <c r="M54" s="117">
        <f t="shared" si="22"/>
        <v>45691</v>
      </c>
      <c r="N54" s="117">
        <f t="shared" si="22"/>
        <v>46647</v>
      </c>
      <c r="O54" s="117">
        <f t="shared" si="22"/>
        <v>46892</v>
      </c>
      <c r="P54" s="117">
        <f t="shared" si="22"/>
        <v>47046</v>
      </c>
      <c r="Q54" s="117">
        <f t="shared" si="22"/>
        <v>47821</v>
      </c>
      <c r="R54" s="117">
        <f t="shared" si="22"/>
        <v>47514</v>
      </c>
      <c r="S54" s="117">
        <f t="shared" si="22"/>
        <v>47514</v>
      </c>
      <c r="T54" s="117">
        <f t="shared" si="22"/>
        <v>47777</v>
      </c>
      <c r="U54" s="117">
        <f t="shared" si="22"/>
        <v>47826</v>
      </c>
      <c r="V54" s="117">
        <f t="shared" si="22"/>
        <v>47826</v>
      </c>
      <c r="W54" s="117">
        <f t="shared" si="22"/>
        <v>47826</v>
      </c>
      <c r="X54" s="117">
        <f t="shared" si="22"/>
        <v>47826</v>
      </c>
      <c r="Y54" s="117">
        <f t="shared" si="22"/>
        <v>51426</v>
      </c>
      <c r="Z54" s="117">
        <f t="shared" si="22"/>
        <v>47826</v>
      </c>
      <c r="AA54" s="117">
        <f t="shared" si="22"/>
        <v>47826</v>
      </c>
      <c r="AB54" s="118">
        <f t="shared" si="12"/>
        <v>715284</v>
      </c>
      <c r="AC54" s="120">
        <f t="shared" si="13"/>
        <v>984479</v>
      </c>
    </row>
    <row r="55" spans="1:30" ht="18" x14ac:dyDescent="0.35">
      <c r="A55" s="116"/>
      <c r="B55" s="2"/>
      <c r="C55" s="2"/>
      <c r="D55" s="2"/>
      <c r="E55" s="2"/>
      <c r="F55" s="2"/>
      <c r="G55" s="2"/>
      <c r="H55" s="2"/>
      <c r="I55" s="2"/>
      <c r="J55" s="2"/>
      <c r="K55" s="2"/>
      <c r="L55" s="127"/>
      <c r="M55" s="54"/>
      <c r="N55" s="54"/>
      <c r="O55" s="54"/>
      <c r="P55" s="54"/>
      <c r="Q55" s="54"/>
      <c r="R55" s="54"/>
      <c r="S55" s="54"/>
      <c r="T55" s="54"/>
      <c r="U55" s="54"/>
      <c r="V55" s="54"/>
      <c r="W55" s="54"/>
      <c r="X55" s="54"/>
      <c r="Y55" s="54"/>
      <c r="Z55" s="54"/>
      <c r="AA55" s="54"/>
      <c r="AB55" s="3"/>
      <c r="AC55" s="34"/>
    </row>
    <row r="56" spans="1:30" ht="18" x14ac:dyDescent="0.35">
      <c r="A56" s="116"/>
      <c r="B56" s="2"/>
      <c r="C56" s="2"/>
      <c r="D56" s="2"/>
      <c r="E56" s="2"/>
      <c r="F56" s="2"/>
      <c r="G56" s="2"/>
      <c r="H56" s="2"/>
      <c r="I56" s="2"/>
      <c r="J56" s="2"/>
      <c r="K56" s="2"/>
      <c r="L56" s="127"/>
      <c r="M56" s="54"/>
      <c r="N56" s="54"/>
      <c r="O56" s="54"/>
      <c r="P56" s="54"/>
      <c r="Q56" s="54"/>
      <c r="R56" s="54"/>
      <c r="S56" s="54"/>
      <c r="T56" s="54"/>
      <c r="U56" s="54"/>
      <c r="V56" s="54"/>
      <c r="W56" s="54"/>
      <c r="X56" s="54"/>
      <c r="Y56" s="54"/>
      <c r="Z56" s="54"/>
      <c r="AA56" s="54"/>
      <c r="AB56" s="3"/>
      <c r="AC56" s="34"/>
    </row>
    <row r="57" spans="1:30" ht="18" x14ac:dyDescent="0.35">
      <c r="A57" s="57" t="s">
        <v>73</v>
      </c>
      <c r="B57" s="58"/>
      <c r="C57" s="58"/>
      <c r="D57" s="58"/>
      <c r="E57" s="58"/>
      <c r="F57" s="58"/>
      <c r="G57" s="58"/>
      <c r="H57" s="58"/>
      <c r="I57" s="58"/>
      <c r="J57" s="58"/>
      <c r="K57" s="58"/>
      <c r="L57" s="128"/>
      <c r="M57" s="58"/>
      <c r="N57" s="58"/>
      <c r="O57" s="58"/>
      <c r="P57" s="58"/>
      <c r="Q57" s="58"/>
      <c r="R57" s="58"/>
      <c r="S57" s="58"/>
      <c r="T57" s="58"/>
      <c r="U57" s="58"/>
      <c r="V57" s="58"/>
      <c r="W57" s="58"/>
      <c r="X57" s="58"/>
      <c r="Y57" s="58"/>
      <c r="Z57" s="58"/>
      <c r="AA57" s="58"/>
      <c r="AB57" s="58"/>
      <c r="AC57" s="58"/>
    </row>
    <row r="58" spans="1:30" ht="18" x14ac:dyDescent="0.35">
      <c r="A58" s="33" t="s">
        <v>29</v>
      </c>
      <c r="B58" s="9"/>
      <c r="C58" s="9"/>
      <c r="D58" s="9"/>
      <c r="E58" s="9"/>
      <c r="F58" s="9"/>
      <c r="G58" s="9"/>
      <c r="H58" s="9"/>
      <c r="I58" s="9"/>
      <c r="J58" s="9"/>
      <c r="K58" s="9"/>
      <c r="L58" s="127"/>
      <c r="M58" s="11"/>
      <c r="N58" s="11"/>
      <c r="O58" s="11"/>
      <c r="P58" s="11"/>
      <c r="Q58" s="11"/>
      <c r="R58" s="11"/>
      <c r="S58" s="11"/>
      <c r="T58" s="11"/>
      <c r="U58" s="11"/>
      <c r="V58" s="11"/>
      <c r="W58" s="11"/>
      <c r="X58" s="11"/>
      <c r="Y58" s="11"/>
      <c r="Z58" s="11"/>
      <c r="AA58" s="11"/>
      <c r="AB58" s="3"/>
      <c r="AC58" s="34"/>
    </row>
    <row r="59" spans="1:30" ht="18" x14ac:dyDescent="0.35">
      <c r="A59" s="14" t="s">
        <v>53</v>
      </c>
      <c r="B59" s="9">
        <v>782</v>
      </c>
      <c r="C59" s="9">
        <v>3320</v>
      </c>
      <c r="D59" s="9">
        <v>4166</v>
      </c>
      <c r="E59" s="9">
        <v>5012</v>
      </c>
      <c r="F59" s="9">
        <v>5858</v>
      </c>
      <c r="G59" s="9">
        <v>6704</v>
      </c>
      <c r="H59" s="9">
        <v>7550</v>
      </c>
      <c r="I59" s="9">
        <v>7550</v>
      </c>
      <c r="J59" s="9">
        <v>7550</v>
      </c>
      <c r="K59" s="9">
        <v>7550</v>
      </c>
      <c r="L59" s="128">
        <f t="shared" ref="L59:L74" si="23">SUM(B59:K59)</f>
        <v>56042</v>
      </c>
      <c r="M59" s="32">
        <v>7550</v>
      </c>
      <c r="N59" s="32">
        <v>7550</v>
      </c>
      <c r="O59" s="32">
        <v>7550</v>
      </c>
      <c r="P59" s="32">
        <v>7550</v>
      </c>
      <c r="Q59" s="32">
        <v>7550</v>
      </c>
      <c r="R59" s="32">
        <v>7550</v>
      </c>
      <c r="S59" s="32">
        <v>7550</v>
      </c>
      <c r="T59" s="32">
        <v>7550</v>
      </c>
      <c r="U59" s="32">
        <v>7550</v>
      </c>
      <c r="V59" s="32">
        <v>7550</v>
      </c>
      <c r="W59" s="32">
        <v>7550</v>
      </c>
      <c r="X59" s="32">
        <v>7550</v>
      </c>
      <c r="Y59" s="32">
        <v>7550</v>
      </c>
      <c r="Z59" s="32">
        <v>7550</v>
      </c>
      <c r="AA59" s="32">
        <v>7550</v>
      </c>
      <c r="AB59" s="12">
        <f t="shared" ref="AB59:AB80" si="24">SUM(M59:AA59)</f>
        <v>113250</v>
      </c>
      <c r="AC59" s="37">
        <f t="shared" ref="AC59:AC80" si="25">L59+AB59</f>
        <v>169292</v>
      </c>
    </row>
    <row r="60" spans="1:30" ht="18" x14ac:dyDescent="0.35">
      <c r="A60" s="14" t="s">
        <v>54</v>
      </c>
      <c r="B60" s="9"/>
      <c r="C60" s="9">
        <v>3132</v>
      </c>
      <c r="D60" s="9">
        <v>4980.8</v>
      </c>
      <c r="E60" s="9">
        <v>8922</v>
      </c>
      <c r="F60" s="9">
        <v>7932</v>
      </c>
      <c r="G60" s="9">
        <v>8922</v>
      </c>
      <c r="H60" s="9">
        <v>8622</v>
      </c>
      <c r="I60" s="9">
        <v>7932</v>
      </c>
      <c r="J60" s="9">
        <v>8922</v>
      </c>
      <c r="K60" s="9">
        <v>8922</v>
      </c>
      <c r="L60" s="128">
        <f t="shared" si="23"/>
        <v>68286.8</v>
      </c>
      <c r="M60" s="32">
        <v>8922</v>
      </c>
      <c r="N60" s="32">
        <v>8922</v>
      </c>
      <c r="O60" s="32">
        <v>8922</v>
      </c>
      <c r="P60" s="32">
        <v>8922</v>
      </c>
      <c r="Q60" s="32">
        <v>8922</v>
      </c>
      <c r="R60" s="32">
        <v>8922</v>
      </c>
      <c r="S60" s="32">
        <v>8922</v>
      </c>
      <c r="T60" s="32">
        <v>8922</v>
      </c>
      <c r="U60" s="32">
        <v>8922</v>
      </c>
      <c r="V60" s="32">
        <v>8922</v>
      </c>
      <c r="W60" s="32">
        <v>8922</v>
      </c>
      <c r="X60" s="32">
        <v>8922</v>
      </c>
      <c r="Y60" s="32">
        <v>8922</v>
      </c>
      <c r="Z60" s="32">
        <v>8922</v>
      </c>
      <c r="AA60" s="32">
        <v>8922</v>
      </c>
      <c r="AB60" s="12">
        <f t="shared" si="24"/>
        <v>133830</v>
      </c>
      <c r="AC60" s="37">
        <f t="shared" si="25"/>
        <v>202116.8</v>
      </c>
    </row>
    <row r="61" spans="1:30" ht="18" x14ac:dyDescent="0.35">
      <c r="A61" s="15" t="s">
        <v>70</v>
      </c>
      <c r="B61" s="38">
        <f>SUM(B59:B60)</f>
        <v>782</v>
      </c>
      <c r="C61" s="38">
        <f t="shared" ref="C61:K61" si="26">SUM(C59:C60)</f>
        <v>6452</v>
      </c>
      <c r="D61" s="38">
        <f t="shared" si="26"/>
        <v>9146.7999999999993</v>
      </c>
      <c r="E61" s="38">
        <f t="shared" si="26"/>
        <v>13934</v>
      </c>
      <c r="F61" s="38">
        <f t="shared" si="26"/>
        <v>13790</v>
      </c>
      <c r="G61" s="38">
        <f t="shared" si="26"/>
        <v>15626</v>
      </c>
      <c r="H61" s="38">
        <f t="shared" si="26"/>
        <v>16172</v>
      </c>
      <c r="I61" s="38">
        <f t="shared" si="26"/>
        <v>15482</v>
      </c>
      <c r="J61" s="38">
        <f t="shared" si="26"/>
        <v>16472</v>
      </c>
      <c r="K61" s="38">
        <f t="shared" si="26"/>
        <v>16472</v>
      </c>
      <c r="L61" s="127">
        <f t="shared" si="23"/>
        <v>124328.8</v>
      </c>
      <c r="M61" s="39">
        <f>SUM(M59:M60)</f>
        <v>16472</v>
      </c>
      <c r="N61" s="39">
        <f t="shared" ref="N61:AA61" si="27">SUM(N59:N60)</f>
        <v>16472</v>
      </c>
      <c r="O61" s="39">
        <f t="shared" si="27"/>
        <v>16472</v>
      </c>
      <c r="P61" s="39">
        <f t="shared" si="27"/>
        <v>16472</v>
      </c>
      <c r="Q61" s="39">
        <f t="shared" si="27"/>
        <v>16472</v>
      </c>
      <c r="R61" s="39">
        <f t="shared" si="27"/>
        <v>16472</v>
      </c>
      <c r="S61" s="39">
        <f t="shared" si="27"/>
        <v>16472</v>
      </c>
      <c r="T61" s="39">
        <f t="shared" si="27"/>
        <v>16472</v>
      </c>
      <c r="U61" s="39">
        <f t="shared" si="27"/>
        <v>16472</v>
      </c>
      <c r="V61" s="39">
        <f t="shared" si="27"/>
        <v>16472</v>
      </c>
      <c r="W61" s="39">
        <f t="shared" si="27"/>
        <v>16472</v>
      </c>
      <c r="X61" s="39">
        <f t="shared" si="27"/>
        <v>16472</v>
      </c>
      <c r="Y61" s="39">
        <f t="shared" si="27"/>
        <v>16472</v>
      </c>
      <c r="Z61" s="39">
        <f t="shared" si="27"/>
        <v>16472</v>
      </c>
      <c r="AA61" s="39">
        <f t="shared" si="27"/>
        <v>16472</v>
      </c>
      <c r="AB61" s="3">
        <f t="shared" si="24"/>
        <v>247080</v>
      </c>
      <c r="AC61" s="34">
        <f t="shared" si="25"/>
        <v>371408.8</v>
      </c>
    </row>
    <row r="62" spans="1:30" ht="18" x14ac:dyDescent="0.35">
      <c r="A62" s="40"/>
      <c r="B62" s="41"/>
      <c r="C62" s="41"/>
      <c r="D62" s="41"/>
      <c r="E62" s="41"/>
      <c r="F62" s="41"/>
      <c r="G62" s="41"/>
      <c r="H62" s="41"/>
      <c r="I62" s="41"/>
      <c r="J62" s="41"/>
      <c r="K62" s="41"/>
      <c r="L62" s="127"/>
      <c r="M62" s="42"/>
      <c r="N62" s="42"/>
      <c r="O62" s="42"/>
      <c r="P62" s="42"/>
      <c r="Q62" s="42"/>
      <c r="R62" s="42"/>
      <c r="S62" s="42"/>
      <c r="T62" s="42"/>
      <c r="U62" s="42"/>
      <c r="V62" s="42"/>
      <c r="W62" s="42"/>
      <c r="X62" s="42"/>
      <c r="Y62" s="42"/>
      <c r="Z62" s="42"/>
      <c r="AA62" s="42"/>
      <c r="AB62" s="3"/>
      <c r="AC62" s="34"/>
    </row>
    <row r="63" spans="1:30" ht="18" x14ac:dyDescent="0.35">
      <c r="A63" s="40" t="s">
        <v>55</v>
      </c>
      <c r="B63" s="41">
        <v>7290</v>
      </c>
      <c r="C63" s="41">
        <v>1745</v>
      </c>
      <c r="D63" s="41">
        <v>18030</v>
      </c>
      <c r="E63" s="41">
        <v>20240</v>
      </c>
      <c r="F63" s="41">
        <v>27190</v>
      </c>
      <c r="G63" s="41">
        <v>39115</v>
      </c>
      <c r="H63" s="41">
        <v>46507</v>
      </c>
      <c r="I63" s="41">
        <v>50030</v>
      </c>
      <c r="J63" s="41">
        <v>56740</v>
      </c>
      <c r="K63" s="41">
        <v>62450</v>
      </c>
      <c r="L63" s="128">
        <f>SUM(B63:K63)</f>
        <v>329337</v>
      </c>
      <c r="M63" s="42">
        <v>62450</v>
      </c>
      <c r="N63" s="42">
        <v>62450</v>
      </c>
      <c r="O63" s="42">
        <v>62450</v>
      </c>
      <c r="P63" s="42">
        <v>62450</v>
      </c>
      <c r="Q63" s="42">
        <v>62450</v>
      </c>
      <c r="R63" s="42">
        <v>62450</v>
      </c>
      <c r="S63" s="42">
        <v>62450</v>
      </c>
      <c r="T63" s="42">
        <v>62450</v>
      </c>
      <c r="U63" s="42">
        <v>62450</v>
      </c>
      <c r="V63" s="42">
        <v>62450</v>
      </c>
      <c r="W63" s="42">
        <v>62450</v>
      </c>
      <c r="X63" s="42">
        <v>62450</v>
      </c>
      <c r="Y63" s="42">
        <v>62450</v>
      </c>
      <c r="Z63" s="42">
        <v>62450</v>
      </c>
      <c r="AA63" s="42">
        <v>62450</v>
      </c>
      <c r="AB63" s="12">
        <f>SUM(M63:AA63)</f>
        <v>936750</v>
      </c>
      <c r="AC63" s="37">
        <f t="shared" si="25"/>
        <v>1266087</v>
      </c>
    </row>
    <row r="64" spans="1:30" ht="18" x14ac:dyDescent="0.35">
      <c r="A64" s="40" t="s">
        <v>56</v>
      </c>
      <c r="B64" s="41">
        <v>114420.33333333299</v>
      </c>
      <c r="C64" s="41">
        <v>122470.33333333299</v>
      </c>
      <c r="D64" s="41">
        <v>122470.33333333299</v>
      </c>
      <c r="E64" s="41">
        <v>-100</v>
      </c>
      <c r="F64" s="41">
        <v>-100</v>
      </c>
      <c r="G64" s="41">
        <v>96677</v>
      </c>
      <c r="H64" s="41">
        <v>305</v>
      </c>
      <c r="I64" s="41">
        <v>305</v>
      </c>
      <c r="J64" s="41">
        <v>305</v>
      </c>
      <c r="K64" s="41">
        <v>305</v>
      </c>
      <c r="L64" s="128">
        <f>SUM(B64:K64)</f>
        <v>457057.99999999895</v>
      </c>
      <c r="M64" s="42">
        <v>92186</v>
      </c>
      <c r="N64" s="42">
        <v>305</v>
      </c>
      <c r="O64" s="42">
        <v>305</v>
      </c>
      <c r="P64" s="42">
        <v>0</v>
      </c>
      <c r="Q64" s="42">
        <v>305</v>
      </c>
      <c r="R64" s="42">
        <v>44808</v>
      </c>
      <c r="S64" s="42">
        <v>305</v>
      </c>
      <c r="T64" s="42">
        <v>305</v>
      </c>
      <c r="U64" s="42">
        <v>305</v>
      </c>
      <c r="V64" s="42">
        <v>0</v>
      </c>
      <c r="W64" s="42">
        <v>145516</v>
      </c>
      <c r="X64" s="42">
        <v>305</v>
      </c>
      <c r="Y64" s="42">
        <v>-3295</v>
      </c>
      <c r="Z64" s="42">
        <v>305</v>
      </c>
      <c r="AA64" s="42">
        <v>305</v>
      </c>
      <c r="AB64" s="12">
        <f>SUM(M64:AA64)</f>
        <v>281960</v>
      </c>
      <c r="AC64" s="37">
        <f>L64+AB64</f>
        <v>739017.99999999895</v>
      </c>
    </row>
    <row r="65" spans="1:30" ht="18" x14ac:dyDescent="0.35">
      <c r="A65" s="40" t="s">
        <v>57</v>
      </c>
      <c r="B65" s="41">
        <v>9390</v>
      </c>
      <c r="C65" s="41">
        <v>14178</v>
      </c>
      <c r="D65" s="41">
        <v>18678</v>
      </c>
      <c r="E65" s="41">
        <v>19678</v>
      </c>
      <c r="F65" s="41">
        <v>27578</v>
      </c>
      <c r="G65" s="41">
        <v>32078</v>
      </c>
      <c r="H65" s="41">
        <v>36290</v>
      </c>
      <c r="I65" s="41">
        <v>36390</v>
      </c>
      <c r="J65" s="41">
        <v>36390</v>
      </c>
      <c r="K65" s="41">
        <v>36390</v>
      </c>
      <c r="L65" s="128">
        <f>SUM(B65:K65)</f>
        <v>267040</v>
      </c>
      <c r="M65" s="42">
        <v>36390</v>
      </c>
      <c r="N65" s="42">
        <v>36390</v>
      </c>
      <c r="O65" s="42">
        <v>36390</v>
      </c>
      <c r="P65" s="42">
        <v>0</v>
      </c>
      <c r="Q65" s="42">
        <v>36390</v>
      </c>
      <c r="R65" s="42">
        <v>0</v>
      </c>
      <c r="S65" s="42">
        <v>36390</v>
      </c>
      <c r="T65" s="42">
        <v>36390</v>
      </c>
      <c r="U65" s="42">
        <v>36390</v>
      </c>
      <c r="V65" s="42">
        <v>36390</v>
      </c>
      <c r="W65" s="42">
        <v>36390</v>
      </c>
      <c r="X65" s="42">
        <v>0</v>
      </c>
      <c r="Y65" s="42">
        <v>36390</v>
      </c>
      <c r="Z65" s="42">
        <v>36390</v>
      </c>
      <c r="AA65" s="42">
        <v>36390</v>
      </c>
      <c r="AB65" s="12">
        <f>SUM(M65:AA65)</f>
        <v>436680</v>
      </c>
      <c r="AC65" s="37">
        <f t="shared" si="25"/>
        <v>703720</v>
      </c>
    </row>
    <row r="66" spans="1:30" ht="18" x14ac:dyDescent="0.35">
      <c r="A66" s="40" t="s">
        <v>58</v>
      </c>
      <c r="B66" s="41">
        <v>110246</v>
      </c>
      <c r="C66" s="41">
        <v>-200</v>
      </c>
      <c r="D66" s="41">
        <v>-200</v>
      </c>
      <c r="E66" s="41">
        <v>0</v>
      </c>
      <c r="F66" s="41">
        <v>-300</v>
      </c>
      <c r="G66" s="41">
        <v>17950</v>
      </c>
      <c r="H66" s="41">
        <v>0</v>
      </c>
      <c r="I66" s="41">
        <v>0</v>
      </c>
      <c r="J66" s="41">
        <v>0</v>
      </c>
      <c r="K66" s="41">
        <v>0</v>
      </c>
      <c r="L66" s="128">
        <f>SUM(B66:K66)</f>
        <v>127496</v>
      </c>
      <c r="M66" s="42">
        <v>17950</v>
      </c>
      <c r="N66" s="42">
        <v>0</v>
      </c>
      <c r="O66" s="42">
        <v>0</v>
      </c>
      <c r="P66" s="42">
        <v>0</v>
      </c>
      <c r="Q66" s="42">
        <v>0</v>
      </c>
      <c r="R66" s="42">
        <v>0</v>
      </c>
      <c r="S66" s="42">
        <v>24103</v>
      </c>
      <c r="T66" s="42">
        <v>0</v>
      </c>
      <c r="U66" s="42">
        <v>0</v>
      </c>
      <c r="V66" s="42">
        <v>0</v>
      </c>
      <c r="W66" s="42">
        <v>0</v>
      </c>
      <c r="X66" s="42">
        <v>0</v>
      </c>
      <c r="Y66" s="42">
        <v>17950</v>
      </c>
      <c r="Z66" s="42">
        <v>0</v>
      </c>
      <c r="AA66" s="42">
        <v>0</v>
      </c>
      <c r="AB66" s="12">
        <f>SUM(M66:AA66)</f>
        <v>60003</v>
      </c>
      <c r="AC66" s="37">
        <f t="shared" si="25"/>
        <v>187499</v>
      </c>
    </row>
    <row r="67" spans="1:30" ht="18" x14ac:dyDescent="0.35">
      <c r="A67" s="15" t="s">
        <v>67</v>
      </c>
      <c r="B67" s="38">
        <f>SUM(B63:B66)</f>
        <v>241346.33333333299</v>
      </c>
      <c r="C67" s="38">
        <f>SUM(C63:C66)</f>
        <v>138193.33333333299</v>
      </c>
      <c r="D67" s="38">
        <f t="shared" ref="D67:K67" si="28">SUM(D63:D66)</f>
        <v>158978.33333333299</v>
      </c>
      <c r="E67" s="38">
        <f t="shared" si="28"/>
        <v>39818</v>
      </c>
      <c r="F67" s="38">
        <f t="shared" si="28"/>
        <v>54368</v>
      </c>
      <c r="G67" s="38">
        <f t="shared" si="28"/>
        <v>185820</v>
      </c>
      <c r="H67" s="38">
        <f t="shared" si="28"/>
        <v>83102</v>
      </c>
      <c r="I67" s="38">
        <f t="shared" si="28"/>
        <v>86725</v>
      </c>
      <c r="J67" s="38">
        <f t="shared" si="28"/>
        <v>93435</v>
      </c>
      <c r="K67" s="38">
        <f t="shared" si="28"/>
        <v>99145</v>
      </c>
      <c r="L67" s="127">
        <f>SUM(B67:K67)</f>
        <v>1180930.9999999991</v>
      </c>
      <c r="M67" s="54">
        <f>SUM(M63:M66)</f>
        <v>208976</v>
      </c>
      <c r="N67" s="54">
        <f t="shared" ref="N67:AA67" si="29">SUM(N63:N66)</f>
        <v>99145</v>
      </c>
      <c r="O67" s="54">
        <f t="shared" si="29"/>
        <v>99145</v>
      </c>
      <c r="P67" s="54">
        <f t="shared" si="29"/>
        <v>62450</v>
      </c>
      <c r="Q67" s="54">
        <f t="shared" si="29"/>
        <v>99145</v>
      </c>
      <c r="R67" s="54">
        <f t="shared" si="29"/>
        <v>107258</v>
      </c>
      <c r="S67" s="54">
        <f t="shared" si="29"/>
        <v>123248</v>
      </c>
      <c r="T67" s="54">
        <f t="shared" si="29"/>
        <v>99145</v>
      </c>
      <c r="U67" s="54">
        <f t="shared" si="29"/>
        <v>99145</v>
      </c>
      <c r="V67" s="54">
        <f t="shared" si="29"/>
        <v>98840</v>
      </c>
      <c r="W67" s="54">
        <f t="shared" si="29"/>
        <v>244356</v>
      </c>
      <c r="X67" s="54">
        <f t="shared" si="29"/>
        <v>62755</v>
      </c>
      <c r="Y67" s="54">
        <f t="shared" si="29"/>
        <v>113495</v>
      </c>
      <c r="Z67" s="54">
        <f t="shared" si="29"/>
        <v>99145</v>
      </c>
      <c r="AA67" s="54">
        <f t="shared" si="29"/>
        <v>99145</v>
      </c>
      <c r="AB67" s="3">
        <f>SUM(M67:AA67)</f>
        <v>1715393</v>
      </c>
      <c r="AC67" s="34">
        <f t="shared" si="25"/>
        <v>2896323.9999999991</v>
      </c>
    </row>
    <row r="68" spans="1:30" ht="18" x14ac:dyDescent="0.35">
      <c r="A68" s="40"/>
      <c r="B68" s="41"/>
      <c r="C68" s="41"/>
      <c r="D68" s="41"/>
      <c r="E68" s="41"/>
      <c r="F68" s="41"/>
      <c r="G68" s="41"/>
      <c r="H68" s="41"/>
      <c r="I68" s="41"/>
      <c r="J68" s="41"/>
      <c r="K68" s="41"/>
      <c r="L68" s="127"/>
      <c r="M68" s="11"/>
      <c r="N68" s="11"/>
      <c r="O68" s="11"/>
      <c r="P68" s="11"/>
      <c r="Q68" s="11"/>
      <c r="R68" s="11"/>
      <c r="S68" s="11"/>
      <c r="T68" s="11"/>
      <c r="U68" s="11"/>
      <c r="V68" s="11"/>
      <c r="W68" s="11"/>
      <c r="X68" s="11"/>
      <c r="Y68" s="11"/>
      <c r="Z68" s="11"/>
      <c r="AA68" s="11"/>
      <c r="AB68" s="3"/>
      <c r="AC68" s="34"/>
    </row>
    <row r="69" spans="1:30" ht="18" x14ac:dyDescent="0.35">
      <c r="A69" s="43" t="s">
        <v>44</v>
      </c>
      <c r="B69" s="9"/>
      <c r="C69" s="9"/>
      <c r="D69" s="9"/>
      <c r="E69" s="9"/>
      <c r="F69" s="9"/>
      <c r="G69" s="9"/>
      <c r="H69" s="9"/>
      <c r="I69" s="9"/>
      <c r="J69" s="9"/>
      <c r="K69" s="9"/>
      <c r="L69" s="127"/>
      <c r="M69" s="11"/>
      <c r="N69" s="11"/>
      <c r="O69" s="11"/>
      <c r="P69" s="11"/>
      <c r="Q69" s="11"/>
      <c r="R69" s="11"/>
      <c r="S69" s="11"/>
      <c r="T69" s="11"/>
      <c r="U69" s="11"/>
      <c r="V69" s="11"/>
      <c r="W69" s="11"/>
      <c r="X69" s="11"/>
      <c r="Y69" s="11"/>
      <c r="Z69" s="11"/>
      <c r="AA69" s="11"/>
      <c r="AB69" s="3"/>
      <c r="AC69" s="34"/>
    </row>
    <row r="70" spans="1:30" ht="18" x14ac:dyDescent="0.35">
      <c r="A70" s="14" t="s">
        <v>59</v>
      </c>
      <c r="B70" s="9"/>
      <c r="C70" s="9"/>
      <c r="D70" s="9"/>
      <c r="E70" s="9"/>
      <c r="F70" s="9"/>
      <c r="G70" s="9">
        <v>19500</v>
      </c>
      <c r="H70" s="9">
        <v>30750</v>
      </c>
      <c r="I70" s="9">
        <v>30550</v>
      </c>
      <c r="J70" s="9">
        <v>41600</v>
      </c>
      <c r="K70" s="9">
        <v>41250</v>
      </c>
      <c r="L70" s="128">
        <f t="shared" si="23"/>
        <v>163650</v>
      </c>
      <c r="M70" s="32">
        <v>41000</v>
      </c>
      <c r="N70" s="32">
        <v>40500</v>
      </c>
      <c r="O70" s="32">
        <v>40500</v>
      </c>
      <c r="P70" s="32">
        <v>40500</v>
      </c>
      <c r="Q70" s="32">
        <v>40500</v>
      </c>
      <c r="R70" s="32">
        <v>40500</v>
      </c>
      <c r="S70" s="32">
        <v>40500</v>
      </c>
      <c r="T70" s="32">
        <v>40500</v>
      </c>
      <c r="U70" s="32">
        <v>40500</v>
      </c>
      <c r="V70" s="32">
        <v>40500</v>
      </c>
      <c r="W70" s="32">
        <v>40500</v>
      </c>
      <c r="X70" s="32">
        <v>40500</v>
      </c>
      <c r="Y70" s="32">
        <v>40500</v>
      </c>
      <c r="Z70" s="32">
        <v>40500</v>
      </c>
      <c r="AA70" s="32">
        <v>40500</v>
      </c>
      <c r="AB70" s="12">
        <f t="shared" si="24"/>
        <v>608000</v>
      </c>
      <c r="AC70" s="37">
        <f t="shared" si="25"/>
        <v>771650</v>
      </c>
    </row>
    <row r="71" spans="1:30" ht="18" x14ac:dyDescent="0.35">
      <c r="A71" s="44" t="s">
        <v>60</v>
      </c>
      <c r="B71" s="9"/>
      <c r="C71" s="9"/>
      <c r="D71" s="9"/>
      <c r="E71" s="9"/>
      <c r="F71" s="9"/>
      <c r="G71" s="9">
        <v>3750</v>
      </c>
      <c r="H71" s="9">
        <v>5625</v>
      </c>
      <c r="I71" s="9">
        <v>7500</v>
      </c>
      <c r="J71" s="9">
        <v>9375</v>
      </c>
      <c r="K71" s="9">
        <v>11250</v>
      </c>
      <c r="L71" s="128">
        <f t="shared" si="23"/>
        <v>37500</v>
      </c>
      <c r="M71" s="32">
        <v>13125</v>
      </c>
      <c r="N71" s="32">
        <v>15000</v>
      </c>
      <c r="O71" s="32">
        <v>15000</v>
      </c>
      <c r="P71" s="32">
        <v>15000</v>
      </c>
      <c r="Q71" s="32">
        <v>15000</v>
      </c>
      <c r="R71" s="32">
        <v>15000</v>
      </c>
      <c r="S71" s="32">
        <v>15000</v>
      </c>
      <c r="T71" s="32">
        <v>15000</v>
      </c>
      <c r="U71" s="32">
        <v>15000</v>
      </c>
      <c r="V71" s="32">
        <v>15000</v>
      </c>
      <c r="W71" s="32">
        <v>15000</v>
      </c>
      <c r="X71" s="32">
        <v>15000</v>
      </c>
      <c r="Y71" s="32">
        <v>15000</v>
      </c>
      <c r="Z71" s="32">
        <v>15000</v>
      </c>
      <c r="AA71" s="32">
        <v>15000</v>
      </c>
      <c r="AB71" s="12">
        <f t="shared" si="24"/>
        <v>223125</v>
      </c>
      <c r="AC71" s="37">
        <f t="shared" si="25"/>
        <v>260625</v>
      </c>
    </row>
    <row r="72" spans="1:30" ht="18" x14ac:dyDescent="0.35">
      <c r="A72" s="44" t="s">
        <v>61</v>
      </c>
      <c r="B72" s="9"/>
      <c r="C72" s="9"/>
      <c r="D72" s="9"/>
      <c r="E72" s="9"/>
      <c r="F72" s="9"/>
      <c r="G72" s="9">
        <v>50</v>
      </c>
      <c r="H72" s="9">
        <v>850</v>
      </c>
      <c r="I72" s="9">
        <v>1850</v>
      </c>
      <c r="J72" s="9">
        <v>2850</v>
      </c>
      <c r="K72" s="9">
        <v>3850</v>
      </c>
      <c r="L72" s="128">
        <f t="shared" si="23"/>
        <v>9450</v>
      </c>
      <c r="M72" s="32">
        <v>4850</v>
      </c>
      <c r="N72" s="32">
        <v>4850</v>
      </c>
      <c r="O72" s="32">
        <v>4850</v>
      </c>
      <c r="P72" s="32">
        <v>4850</v>
      </c>
      <c r="Q72" s="32">
        <v>4850</v>
      </c>
      <c r="R72" s="32">
        <v>4850</v>
      </c>
      <c r="S72" s="32">
        <v>4850</v>
      </c>
      <c r="T72" s="32">
        <v>4850</v>
      </c>
      <c r="U72" s="32">
        <v>4850</v>
      </c>
      <c r="V72" s="32">
        <v>4850</v>
      </c>
      <c r="W72" s="32">
        <v>4850</v>
      </c>
      <c r="X72" s="32">
        <v>4850</v>
      </c>
      <c r="Y72" s="32">
        <v>4850</v>
      </c>
      <c r="Z72" s="32">
        <v>4850</v>
      </c>
      <c r="AA72" s="32">
        <v>4850</v>
      </c>
      <c r="AB72" s="12">
        <f t="shared" si="24"/>
        <v>72750</v>
      </c>
      <c r="AC72" s="37">
        <f t="shared" si="25"/>
        <v>82200</v>
      </c>
    </row>
    <row r="73" spans="1:30" ht="18" x14ac:dyDescent="0.35">
      <c r="A73" s="44" t="s">
        <v>62</v>
      </c>
      <c r="B73" s="9"/>
      <c r="C73" s="9"/>
      <c r="D73" s="9"/>
      <c r="E73" s="9"/>
      <c r="F73" s="9"/>
      <c r="G73" s="9">
        <v>4036</v>
      </c>
      <c r="H73" s="9">
        <v>6561</v>
      </c>
      <c r="I73" s="9">
        <v>6561</v>
      </c>
      <c r="J73" s="9">
        <v>8986</v>
      </c>
      <c r="K73" s="9">
        <v>8986</v>
      </c>
      <c r="L73" s="128">
        <f t="shared" si="23"/>
        <v>35130</v>
      </c>
      <c r="M73" s="32">
        <v>10161</v>
      </c>
      <c r="N73" s="32">
        <v>10161</v>
      </c>
      <c r="O73" s="32">
        <v>10161</v>
      </c>
      <c r="P73" s="32">
        <v>10161</v>
      </c>
      <c r="Q73" s="32">
        <v>10161</v>
      </c>
      <c r="R73" s="32">
        <v>10161</v>
      </c>
      <c r="S73" s="32">
        <v>10161</v>
      </c>
      <c r="T73" s="32">
        <v>10161</v>
      </c>
      <c r="U73" s="32">
        <v>10161</v>
      </c>
      <c r="V73" s="32">
        <v>10161</v>
      </c>
      <c r="W73" s="32">
        <v>10161</v>
      </c>
      <c r="X73" s="32">
        <v>10161</v>
      </c>
      <c r="Y73" s="32">
        <v>10161</v>
      </c>
      <c r="Z73" s="32">
        <v>10161</v>
      </c>
      <c r="AA73" s="32">
        <v>10161</v>
      </c>
      <c r="AB73" s="12">
        <f t="shared" si="24"/>
        <v>152415</v>
      </c>
      <c r="AC73" s="37">
        <f t="shared" si="25"/>
        <v>187545</v>
      </c>
    </row>
    <row r="74" spans="1:30" ht="18" x14ac:dyDescent="0.35">
      <c r="A74" s="45" t="s">
        <v>71</v>
      </c>
      <c r="B74" s="38">
        <f>SUM(B70:B73)</f>
        <v>0</v>
      </c>
      <c r="C74" s="38">
        <f t="shared" ref="C74:K74" si="30">SUM(C70:C73)</f>
        <v>0</v>
      </c>
      <c r="D74" s="38">
        <f t="shared" si="30"/>
        <v>0</v>
      </c>
      <c r="E74" s="38">
        <f t="shared" si="30"/>
        <v>0</v>
      </c>
      <c r="F74" s="38">
        <f t="shared" si="30"/>
        <v>0</v>
      </c>
      <c r="G74" s="38">
        <f t="shared" si="30"/>
        <v>27336</v>
      </c>
      <c r="H74" s="38">
        <f t="shared" si="30"/>
        <v>43786</v>
      </c>
      <c r="I74" s="38">
        <f t="shared" si="30"/>
        <v>46461</v>
      </c>
      <c r="J74" s="38">
        <f t="shared" si="30"/>
        <v>62811</v>
      </c>
      <c r="K74" s="38">
        <f t="shared" si="30"/>
        <v>65336</v>
      </c>
      <c r="L74" s="127">
        <f t="shared" si="23"/>
        <v>245730</v>
      </c>
      <c r="M74" s="39">
        <f>SUM(M70:M73)</f>
        <v>69136</v>
      </c>
      <c r="N74" s="39">
        <f t="shared" ref="N74:AA74" si="31">SUM(N70:N73)</f>
        <v>70511</v>
      </c>
      <c r="O74" s="39">
        <f t="shared" si="31"/>
        <v>70511</v>
      </c>
      <c r="P74" s="39">
        <f t="shared" si="31"/>
        <v>70511</v>
      </c>
      <c r="Q74" s="39">
        <f t="shared" si="31"/>
        <v>70511</v>
      </c>
      <c r="R74" s="39">
        <f t="shared" si="31"/>
        <v>70511</v>
      </c>
      <c r="S74" s="39">
        <f t="shared" si="31"/>
        <v>70511</v>
      </c>
      <c r="T74" s="39">
        <f t="shared" si="31"/>
        <v>70511</v>
      </c>
      <c r="U74" s="39">
        <f t="shared" si="31"/>
        <v>70511</v>
      </c>
      <c r="V74" s="39">
        <f t="shared" si="31"/>
        <v>70511</v>
      </c>
      <c r="W74" s="39">
        <f t="shared" si="31"/>
        <v>70511</v>
      </c>
      <c r="X74" s="39">
        <f t="shared" si="31"/>
        <v>70511</v>
      </c>
      <c r="Y74" s="39">
        <f t="shared" si="31"/>
        <v>70511</v>
      </c>
      <c r="Z74" s="39">
        <f t="shared" si="31"/>
        <v>70511</v>
      </c>
      <c r="AA74" s="39">
        <f t="shared" si="31"/>
        <v>70511</v>
      </c>
      <c r="AB74" s="3">
        <f t="shared" si="24"/>
        <v>1056290</v>
      </c>
      <c r="AC74" s="34">
        <f t="shared" si="25"/>
        <v>1302020</v>
      </c>
    </row>
    <row r="75" spans="1:30" ht="18" x14ac:dyDescent="0.35">
      <c r="A75" s="47"/>
      <c r="B75" s="41"/>
      <c r="C75" s="41"/>
      <c r="D75" s="41"/>
      <c r="E75" s="41"/>
      <c r="F75" s="41"/>
      <c r="G75" s="41"/>
      <c r="H75" s="41"/>
      <c r="I75" s="41"/>
      <c r="J75" s="41"/>
      <c r="K75" s="41"/>
      <c r="L75" s="127"/>
      <c r="M75" s="11"/>
      <c r="N75" s="11"/>
      <c r="O75" s="11"/>
      <c r="P75" s="11"/>
      <c r="Q75" s="11"/>
      <c r="R75" s="11"/>
      <c r="S75" s="11"/>
      <c r="T75" s="11"/>
      <c r="U75" s="11"/>
      <c r="V75" s="11"/>
      <c r="W75" s="11"/>
      <c r="X75" s="11"/>
      <c r="Y75" s="11"/>
      <c r="Z75" s="11"/>
      <c r="AA75" s="11"/>
      <c r="AB75" s="3"/>
      <c r="AC75" s="34"/>
    </row>
    <row r="76" spans="1:30" ht="18" x14ac:dyDescent="0.35">
      <c r="A76" s="46" t="s">
        <v>50</v>
      </c>
      <c r="B76" s="9"/>
      <c r="C76" s="9"/>
      <c r="D76" s="9"/>
      <c r="E76" s="9"/>
      <c r="F76" s="9"/>
      <c r="G76" s="9"/>
      <c r="H76" s="9"/>
      <c r="I76" s="9"/>
      <c r="J76" s="9"/>
      <c r="K76" s="9"/>
      <c r="L76" s="129"/>
      <c r="M76" s="11"/>
      <c r="N76" s="11"/>
      <c r="O76" s="11"/>
      <c r="P76" s="11"/>
      <c r="Q76" s="11"/>
      <c r="R76" s="11"/>
      <c r="S76" s="11"/>
      <c r="T76" s="11"/>
      <c r="U76" s="11"/>
      <c r="V76" s="11"/>
      <c r="W76" s="11"/>
      <c r="X76" s="11"/>
      <c r="Y76" s="11"/>
      <c r="Z76" s="11"/>
      <c r="AA76" s="11"/>
      <c r="AB76" s="3"/>
      <c r="AC76" s="34"/>
    </row>
    <row r="77" spans="1:30" ht="18" x14ac:dyDescent="0.35">
      <c r="A77" s="44" t="s">
        <v>64</v>
      </c>
      <c r="B77" s="9"/>
      <c r="C77" s="9"/>
      <c r="D77" s="9"/>
      <c r="E77" s="9"/>
      <c r="F77" s="9"/>
      <c r="G77" s="9"/>
      <c r="H77" s="9"/>
      <c r="I77" s="9"/>
      <c r="J77" s="9"/>
      <c r="K77" s="9"/>
      <c r="L77" s="129"/>
      <c r="M77" s="32">
        <v>1826</v>
      </c>
      <c r="N77" s="32">
        <v>2555</v>
      </c>
      <c r="O77" s="32">
        <v>4760</v>
      </c>
      <c r="P77" s="32">
        <v>6146</v>
      </c>
      <c r="Q77" s="32">
        <v>8621</v>
      </c>
      <c r="R77" s="32">
        <v>10358</v>
      </c>
      <c r="S77" s="32">
        <v>10358</v>
      </c>
      <c r="T77" s="32">
        <v>12725</v>
      </c>
      <c r="U77" s="32">
        <v>13166</v>
      </c>
      <c r="V77" s="32">
        <v>13166</v>
      </c>
      <c r="W77" s="32">
        <v>13166</v>
      </c>
      <c r="X77" s="32">
        <v>13166</v>
      </c>
      <c r="Y77" s="32">
        <v>13166</v>
      </c>
      <c r="Z77" s="32">
        <v>13166</v>
      </c>
      <c r="AA77" s="32">
        <v>13166</v>
      </c>
      <c r="AB77" s="12">
        <f t="shared" si="24"/>
        <v>149511</v>
      </c>
      <c r="AC77" s="37">
        <f t="shared" si="25"/>
        <v>149511</v>
      </c>
    </row>
    <row r="78" spans="1:30" ht="18" x14ac:dyDescent="0.35">
      <c r="A78" s="45" t="s">
        <v>68</v>
      </c>
      <c r="B78" s="38">
        <f>SUM(B77)</f>
        <v>0</v>
      </c>
      <c r="C78" s="38">
        <f t="shared" ref="C78:K78" si="32">SUM(C77)</f>
        <v>0</v>
      </c>
      <c r="D78" s="38">
        <f t="shared" si="32"/>
        <v>0</v>
      </c>
      <c r="E78" s="38">
        <f t="shared" si="32"/>
        <v>0</v>
      </c>
      <c r="F78" s="38">
        <f t="shared" si="32"/>
        <v>0</v>
      </c>
      <c r="G78" s="38">
        <f t="shared" si="32"/>
        <v>0</v>
      </c>
      <c r="H78" s="38">
        <f t="shared" si="32"/>
        <v>0</v>
      </c>
      <c r="I78" s="38">
        <f t="shared" si="32"/>
        <v>0</v>
      </c>
      <c r="J78" s="38">
        <f t="shared" si="32"/>
        <v>0</v>
      </c>
      <c r="K78" s="38">
        <f t="shared" si="32"/>
        <v>0</v>
      </c>
      <c r="L78" s="127">
        <f>SUM(B78:K78)</f>
        <v>0</v>
      </c>
      <c r="M78" s="39">
        <f>SUM(M77)</f>
        <v>1826</v>
      </c>
      <c r="N78" s="39">
        <f t="shared" ref="N78:AA78" si="33">SUM(N77)</f>
        <v>2555</v>
      </c>
      <c r="O78" s="39">
        <f t="shared" si="33"/>
        <v>4760</v>
      </c>
      <c r="P78" s="39">
        <f t="shared" si="33"/>
        <v>6146</v>
      </c>
      <c r="Q78" s="39">
        <f t="shared" si="33"/>
        <v>8621</v>
      </c>
      <c r="R78" s="39">
        <f t="shared" si="33"/>
        <v>10358</v>
      </c>
      <c r="S78" s="39">
        <f t="shared" si="33"/>
        <v>10358</v>
      </c>
      <c r="T78" s="39">
        <f t="shared" si="33"/>
        <v>12725</v>
      </c>
      <c r="U78" s="39">
        <f t="shared" si="33"/>
        <v>13166</v>
      </c>
      <c r="V78" s="39">
        <f t="shared" si="33"/>
        <v>13166</v>
      </c>
      <c r="W78" s="39">
        <f t="shared" si="33"/>
        <v>13166</v>
      </c>
      <c r="X78" s="39">
        <f t="shared" si="33"/>
        <v>13166</v>
      </c>
      <c r="Y78" s="39">
        <f t="shared" si="33"/>
        <v>13166</v>
      </c>
      <c r="Z78" s="39">
        <f t="shared" si="33"/>
        <v>13166</v>
      </c>
      <c r="AA78" s="39">
        <f t="shared" si="33"/>
        <v>13166</v>
      </c>
      <c r="AB78" s="3">
        <f t="shared" si="24"/>
        <v>149511</v>
      </c>
      <c r="AC78" s="34">
        <f t="shared" si="25"/>
        <v>149511</v>
      </c>
    </row>
    <row r="79" spans="1:30" ht="18.600000000000001" thickBot="1" x14ac:dyDescent="0.4">
      <c r="A79" s="10"/>
      <c r="B79" s="9"/>
      <c r="C79" s="9"/>
      <c r="D79" s="9"/>
      <c r="E79" s="9"/>
      <c r="F79" s="9"/>
      <c r="G79" s="9"/>
      <c r="H79" s="9"/>
      <c r="I79" s="9"/>
      <c r="J79" s="9"/>
      <c r="K79" s="9"/>
      <c r="L79" s="129"/>
      <c r="M79" s="11"/>
      <c r="N79" s="11"/>
      <c r="O79" s="11"/>
      <c r="P79" s="11"/>
      <c r="Q79" s="11"/>
      <c r="R79" s="11"/>
      <c r="S79" s="11"/>
      <c r="T79" s="11"/>
      <c r="U79" s="11"/>
      <c r="V79" s="11"/>
      <c r="W79" s="11"/>
      <c r="X79" s="11"/>
      <c r="Y79" s="11"/>
      <c r="Z79" s="11"/>
      <c r="AA79" s="11"/>
      <c r="AB79" s="3"/>
      <c r="AC79" s="34"/>
    </row>
    <row r="80" spans="1:30" s="31" customFormat="1" ht="54.75" customHeight="1" x14ac:dyDescent="0.35">
      <c r="A80" s="121" t="s">
        <v>91</v>
      </c>
      <c r="B80" s="122">
        <f t="shared" ref="B80:K80" si="34">B61+B67+B74+B78</f>
        <v>242128.33333333299</v>
      </c>
      <c r="C80" s="122">
        <f t="shared" si="34"/>
        <v>144645.33333333299</v>
      </c>
      <c r="D80" s="122">
        <f t="shared" si="34"/>
        <v>168125.13333333298</v>
      </c>
      <c r="E80" s="122">
        <f t="shared" si="34"/>
        <v>53752</v>
      </c>
      <c r="F80" s="122">
        <f t="shared" si="34"/>
        <v>68158</v>
      </c>
      <c r="G80" s="122">
        <f t="shared" si="34"/>
        <v>228782</v>
      </c>
      <c r="H80" s="122">
        <f t="shared" si="34"/>
        <v>143060</v>
      </c>
      <c r="I80" s="122">
        <f t="shared" si="34"/>
        <v>148668</v>
      </c>
      <c r="J80" s="122">
        <f t="shared" si="34"/>
        <v>172718</v>
      </c>
      <c r="K80" s="122">
        <f t="shared" si="34"/>
        <v>180953</v>
      </c>
      <c r="L80" s="150">
        <f>SUM(B80:K80)</f>
        <v>1550989.7999999989</v>
      </c>
      <c r="M80" s="143">
        <f>M61+M67+M74+M78</f>
        <v>296410</v>
      </c>
      <c r="N80" s="123">
        <f t="shared" ref="N80:AA80" si="35">N61+N67+N74+N78</f>
        <v>188683</v>
      </c>
      <c r="O80" s="123">
        <f t="shared" si="35"/>
        <v>190888</v>
      </c>
      <c r="P80" s="123">
        <f t="shared" si="35"/>
        <v>155579</v>
      </c>
      <c r="Q80" s="123">
        <f t="shared" si="35"/>
        <v>194749</v>
      </c>
      <c r="R80" s="123">
        <f t="shared" si="35"/>
        <v>204599</v>
      </c>
      <c r="S80" s="123">
        <f t="shared" si="35"/>
        <v>220589</v>
      </c>
      <c r="T80" s="123">
        <f t="shared" si="35"/>
        <v>198853</v>
      </c>
      <c r="U80" s="123">
        <f t="shared" si="35"/>
        <v>199294</v>
      </c>
      <c r="V80" s="123">
        <f t="shared" si="35"/>
        <v>198989</v>
      </c>
      <c r="W80" s="123">
        <f t="shared" si="35"/>
        <v>344505</v>
      </c>
      <c r="X80" s="123">
        <f t="shared" si="35"/>
        <v>162904</v>
      </c>
      <c r="Y80" s="123">
        <f t="shared" si="35"/>
        <v>213644</v>
      </c>
      <c r="Z80" s="123">
        <f t="shared" si="35"/>
        <v>199294</v>
      </c>
      <c r="AA80" s="123">
        <f t="shared" si="35"/>
        <v>199294</v>
      </c>
      <c r="AB80" s="124">
        <f t="shared" si="24"/>
        <v>3168274</v>
      </c>
      <c r="AC80" s="125">
        <f t="shared" si="25"/>
        <v>4719263.7999999989</v>
      </c>
      <c r="AD80" s="84"/>
    </row>
    <row r="81" spans="1:29" x14ac:dyDescent="0.3">
      <c r="L81" s="132"/>
    </row>
    <row r="82" spans="1:29" ht="18" x14ac:dyDescent="0.35">
      <c r="A82" s="1" t="s">
        <v>95</v>
      </c>
      <c r="L82" s="132"/>
    </row>
    <row r="83" spans="1:29" ht="18" x14ac:dyDescent="0.35">
      <c r="A83" s="1" t="s">
        <v>96</v>
      </c>
      <c r="L83" s="133"/>
    </row>
    <row r="84" spans="1:29" ht="36" x14ac:dyDescent="0.35">
      <c r="A84" s="86" t="s">
        <v>128</v>
      </c>
      <c r="L84" s="132"/>
    </row>
    <row r="85" spans="1:29" ht="36" x14ac:dyDescent="0.35">
      <c r="A85" s="86" t="s">
        <v>97</v>
      </c>
      <c r="L85" s="132"/>
    </row>
    <row r="86" spans="1:29" ht="18" x14ac:dyDescent="0.35">
      <c r="A86" s="10" t="s">
        <v>98</v>
      </c>
      <c r="B86" s="87">
        <v>0</v>
      </c>
      <c r="C86" s="87">
        <v>0</v>
      </c>
      <c r="D86" s="87">
        <v>0</v>
      </c>
      <c r="E86" s="87">
        <v>0</v>
      </c>
      <c r="F86" s="87">
        <v>0</v>
      </c>
      <c r="G86" s="87">
        <v>31122</v>
      </c>
      <c r="H86" s="87">
        <v>31122</v>
      </c>
      <c r="I86" s="87">
        <v>31122</v>
      </c>
      <c r="J86" s="87">
        <v>31122</v>
      </c>
      <c r="K86" s="87">
        <v>31122</v>
      </c>
      <c r="L86" s="134">
        <v>155610</v>
      </c>
      <c r="M86" s="87">
        <v>31122</v>
      </c>
      <c r="N86" s="87">
        <v>31122</v>
      </c>
      <c r="O86" s="87">
        <v>31122</v>
      </c>
      <c r="P86" s="87">
        <v>31122</v>
      </c>
      <c r="Q86" s="87">
        <v>31122</v>
      </c>
      <c r="R86" s="87">
        <v>31122</v>
      </c>
      <c r="S86" s="87">
        <v>31122</v>
      </c>
      <c r="T86" s="87">
        <v>31122</v>
      </c>
      <c r="U86" s="87">
        <v>31122</v>
      </c>
      <c r="V86" s="87">
        <v>31122</v>
      </c>
      <c r="W86" s="87">
        <v>31122</v>
      </c>
      <c r="X86" s="87">
        <v>31122</v>
      </c>
      <c r="Y86" s="87">
        <v>31122</v>
      </c>
      <c r="Z86" s="87">
        <v>31122</v>
      </c>
      <c r="AA86" s="87">
        <v>31122</v>
      </c>
      <c r="AB86" s="88">
        <v>466830</v>
      </c>
      <c r="AC86" s="87">
        <v>622440</v>
      </c>
    </row>
    <row r="87" spans="1:29" x14ac:dyDescent="0.3">
      <c r="L87" s="132"/>
    </row>
    <row r="88" spans="1:29" ht="18.600000000000001" thickBot="1" x14ac:dyDescent="0.4">
      <c r="A88" s="153" t="s">
        <v>116</v>
      </c>
      <c r="B88" s="151">
        <v>22912</v>
      </c>
      <c r="C88" s="151">
        <v>32172</v>
      </c>
      <c r="D88" s="152"/>
      <c r="E88" s="152"/>
      <c r="F88" s="151">
        <v>33223</v>
      </c>
      <c r="G88" s="152"/>
      <c r="H88" s="152"/>
      <c r="I88" s="152"/>
      <c r="J88" s="152"/>
      <c r="K88" s="152"/>
      <c r="L88" s="188">
        <f>SUM(B88:K88)</f>
        <v>88307</v>
      </c>
      <c r="M88" s="187">
        <v>16150</v>
      </c>
      <c r="N88" s="187">
        <v>100</v>
      </c>
      <c r="O88" s="187">
        <v>12200</v>
      </c>
      <c r="P88" s="187">
        <v>200</v>
      </c>
      <c r="Q88" s="187">
        <v>25850</v>
      </c>
      <c r="R88" s="187">
        <v>350</v>
      </c>
      <c r="S88" s="187">
        <v>350</v>
      </c>
      <c r="T88" s="187">
        <v>6400</v>
      </c>
      <c r="U88" s="187">
        <v>400</v>
      </c>
      <c r="V88" s="187">
        <v>400</v>
      </c>
      <c r="W88" s="187">
        <v>400</v>
      </c>
      <c r="X88" s="187">
        <v>400</v>
      </c>
      <c r="Y88" s="187">
        <v>400</v>
      </c>
      <c r="Z88" s="187">
        <v>400</v>
      </c>
      <c r="AA88" s="187">
        <v>400</v>
      </c>
      <c r="AB88" s="189">
        <f>SUM(M88:AA88)</f>
        <v>64400</v>
      </c>
      <c r="AC88" s="87">
        <f>L88+AB88</f>
        <v>152707</v>
      </c>
    </row>
    <row r="89" spans="1:29" ht="18.600000000000001" thickBot="1" x14ac:dyDescent="0.4">
      <c r="A89" s="89" t="s">
        <v>129</v>
      </c>
      <c r="B89" s="90">
        <f t="shared" ref="B89:K89" si="36">B80-B86-B88</f>
        <v>219216.33333333299</v>
      </c>
      <c r="C89" s="90">
        <f t="shared" si="36"/>
        <v>112473.33333333299</v>
      </c>
      <c r="D89" s="90">
        <f t="shared" si="36"/>
        <v>168125.13333333298</v>
      </c>
      <c r="E89" s="90">
        <f t="shared" si="36"/>
        <v>53752</v>
      </c>
      <c r="F89" s="90">
        <f t="shared" si="36"/>
        <v>34935</v>
      </c>
      <c r="G89" s="90">
        <f t="shared" si="36"/>
        <v>197660</v>
      </c>
      <c r="H89" s="90">
        <f t="shared" si="36"/>
        <v>111938</v>
      </c>
      <c r="I89" s="90">
        <f t="shared" si="36"/>
        <v>117546</v>
      </c>
      <c r="J89" s="90">
        <f t="shared" si="36"/>
        <v>141596</v>
      </c>
      <c r="K89" s="90">
        <f t="shared" si="36"/>
        <v>149831</v>
      </c>
      <c r="L89" s="145">
        <f>SUM(B89:K89)</f>
        <v>1307072.7999999989</v>
      </c>
      <c r="M89" s="144">
        <f t="shared" ref="M89:AA89" si="37">M80-M86</f>
        <v>265288</v>
      </c>
      <c r="N89" s="91">
        <f t="shared" si="37"/>
        <v>157561</v>
      </c>
      <c r="O89" s="91">
        <f t="shared" si="37"/>
        <v>159766</v>
      </c>
      <c r="P89" s="91">
        <f t="shared" si="37"/>
        <v>124457</v>
      </c>
      <c r="Q89" s="91">
        <f t="shared" si="37"/>
        <v>163627</v>
      </c>
      <c r="R89" s="91">
        <f t="shared" si="37"/>
        <v>173477</v>
      </c>
      <c r="S89" s="91">
        <f t="shared" si="37"/>
        <v>189467</v>
      </c>
      <c r="T89" s="91">
        <f t="shared" si="37"/>
        <v>167731</v>
      </c>
      <c r="U89" s="91">
        <f t="shared" si="37"/>
        <v>168172</v>
      </c>
      <c r="V89" s="91">
        <f t="shared" si="37"/>
        <v>167867</v>
      </c>
      <c r="W89" s="91">
        <f t="shared" si="37"/>
        <v>313383</v>
      </c>
      <c r="X89" s="91">
        <f t="shared" si="37"/>
        <v>131782</v>
      </c>
      <c r="Y89" s="91">
        <f t="shared" si="37"/>
        <v>182522</v>
      </c>
      <c r="Z89" s="91">
        <f t="shared" si="37"/>
        <v>168172</v>
      </c>
      <c r="AA89" s="91">
        <f t="shared" si="37"/>
        <v>168172</v>
      </c>
      <c r="AB89" s="91">
        <f>SUM(M89:AA89)</f>
        <v>2701444</v>
      </c>
      <c r="AC89" s="179">
        <f>L89+AB89</f>
        <v>4008516.7999999989</v>
      </c>
    </row>
    <row r="90" spans="1:29" ht="15" thickBot="1" x14ac:dyDescent="0.35">
      <c r="L90" s="132"/>
    </row>
    <row r="91" spans="1:29" s="31" customFormat="1" ht="18.600000000000001" thickBot="1" x14ac:dyDescent="0.4">
      <c r="A91" s="112" t="s">
        <v>94</v>
      </c>
      <c r="B91" s="113">
        <f>B89</f>
        <v>219216.33333333299</v>
      </c>
      <c r="C91" s="113">
        <f>B91+C89</f>
        <v>331689.66666666599</v>
      </c>
      <c r="D91" s="113">
        <f t="shared" ref="D91:AA91" si="38">C91+D89</f>
        <v>499814.799999999</v>
      </c>
      <c r="E91" s="113">
        <f t="shared" si="38"/>
        <v>553566.799999999</v>
      </c>
      <c r="F91" s="113">
        <f t="shared" si="38"/>
        <v>588501.799999999</v>
      </c>
      <c r="G91" s="113">
        <f t="shared" si="38"/>
        <v>786161.799999999</v>
      </c>
      <c r="H91" s="113">
        <f t="shared" si="38"/>
        <v>898099.799999999</v>
      </c>
      <c r="I91" s="113">
        <f t="shared" si="38"/>
        <v>1015645.799999999</v>
      </c>
      <c r="J91" s="113">
        <f t="shared" si="38"/>
        <v>1157241.7999999989</v>
      </c>
      <c r="K91" s="113">
        <f t="shared" si="38"/>
        <v>1307072.7999999989</v>
      </c>
      <c r="L91" s="146"/>
      <c r="M91" s="113">
        <f t="shared" si="38"/>
        <v>265288</v>
      </c>
      <c r="N91" s="113">
        <f t="shared" si="38"/>
        <v>422849</v>
      </c>
      <c r="O91" s="113">
        <f t="shared" si="38"/>
        <v>582615</v>
      </c>
      <c r="P91" s="113">
        <f t="shared" si="38"/>
        <v>707072</v>
      </c>
      <c r="Q91" s="113">
        <f t="shared" si="38"/>
        <v>870699</v>
      </c>
      <c r="R91" s="113">
        <f t="shared" si="38"/>
        <v>1044176</v>
      </c>
      <c r="S91" s="113">
        <f t="shared" si="38"/>
        <v>1233643</v>
      </c>
      <c r="T91" s="113">
        <f t="shared" si="38"/>
        <v>1401374</v>
      </c>
      <c r="U91" s="113">
        <f t="shared" si="38"/>
        <v>1569546</v>
      </c>
      <c r="V91" s="113">
        <f t="shared" si="38"/>
        <v>1737413</v>
      </c>
      <c r="W91" s="113">
        <f t="shared" si="38"/>
        <v>2050796</v>
      </c>
      <c r="X91" s="113">
        <f t="shared" si="38"/>
        <v>2182578</v>
      </c>
      <c r="Y91" s="113">
        <f t="shared" si="38"/>
        <v>2365100</v>
      </c>
      <c r="Z91" s="113">
        <f t="shared" si="38"/>
        <v>2533272</v>
      </c>
      <c r="AA91" s="113">
        <f t="shared" si="38"/>
        <v>2701444</v>
      </c>
      <c r="AB91" s="114"/>
      <c r="AC91" s="115"/>
    </row>
    <row r="92" spans="1:29" ht="18.600000000000001" thickBot="1" x14ac:dyDescent="0.4">
      <c r="A92" s="10"/>
      <c r="B92" s="68"/>
      <c r="C92" s="68"/>
      <c r="D92" s="68"/>
      <c r="E92" s="68"/>
      <c r="F92" s="68"/>
      <c r="G92" s="68"/>
      <c r="H92" s="68"/>
      <c r="I92" s="68"/>
      <c r="J92" s="68"/>
      <c r="K92" s="68"/>
      <c r="L92" s="154"/>
      <c r="M92" s="68"/>
      <c r="N92" s="68"/>
      <c r="O92" s="68"/>
      <c r="P92" s="68"/>
      <c r="Q92" s="68"/>
      <c r="R92" s="68"/>
      <c r="S92" s="68"/>
      <c r="T92" s="68"/>
      <c r="U92" s="68"/>
      <c r="V92" s="68"/>
      <c r="W92" s="68"/>
      <c r="X92" s="68"/>
      <c r="Y92" s="68"/>
      <c r="Z92" s="68"/>
      <c r="AA92" s="68"/>
    </row>
    <row r="93" spans="1:29" ht="18" x14ac:dyDescent="0.35">
      <c r="A93" s="157" t="s">
        <v>130</v>
      </c>
      <c r="B93" s="158"/>
      <c r="C93" s="158"/>
      <c r="D93" s="158"/>
      <c r="E93" s="158"/>
      <c r="F93" s="158"/>
      <c r="G93" s="158"/>
      <c r="H93" s="158"/>
      <c r="I93" s="158"/>
      <c r="J93" s="158"/>
      <c r="K93" s="158"/>
      <c r="L93" s="154"/>
      <c r="M93" s="68"/>
      <c r="N93" s="68"/>
      <c r="O93" s="68"/>
      <c r="P93" s="68"/>
      <c r="Q93" s="68"/>
      <c r="R93" s="68"/>
      <c r="S93" s="68"/>
      <c r="T93" s="68"/>
      <c r="U93" s="68"/>
      <c r="V93" s="68"/>
      <c r="W93" s="68"/>
      <c r="X93" s="68"/>
      <c r="Y93" s="68"/>
      <c r="Z93" s="68"/>
      <c r="AA93" s="68"/>
    </row>
    <row r="94" spans="1:29" s="105" customFormat="1" x14ac:dyDescent="0.3">
      <c r="A94" s="159" t="s">
        <v>131</v>
      </c>
      <c r="B94" s="155">
        <f>259378-B88</f>
        <v>236466</v>
      </c>
      <c r="C94" s="155">
        <f>255091-C88</f>
        <v>222919</v>
      </c>
      <c r="D94" s="155">
        <f>168125-D88</f>
        <v>168125</v>
      </c>
      <c r="E94" s="155">
        <f>53552-E88</f>
        <v>53552</v>
      </c>
      <c r="F94" s="155">
        <f>68458-F88</f>
        <v>35235</v>
      </c>
      <c r="G94" s="155">
        <f>183196-G88</f>
        <v>183196</v>
      </c>
      <c r="H94" s="155">
        <f>117224-H88</f>
        <v>117224</v>
      </c>
      <c r="I94" s="155">
        <f>102207-I88</f>
        <v>102207</v>
      </c>
      <c r="J94" s="155">
        <f>109907-J88</f>
        <v>109907</v>
      </c>
      <c r="K94" s="155">
        <f>115617-K88</f>
        <v>115617</v>
      </c>
      <c r="L94" s="135">
        <f>SUM(B94:K94)</f>
        <v>1344448</v>
      </c>
    </row>
    <row r="95" spans="1:29" s="105" customFormat="1" x14ac:dyDescent="0.3">
      <c r="A95" s="159" t="s">
        <v>132</v>
      </c>
      <c r="B95" s="155"/>
      <c r="C95" s="155"/>
      <c r="D95" s="155"/>
      <c r="E95" s="155"/>
      <c r="F95" s="155"/>
      <c r="G95" s="155">
        <f>27336-G86</f>
        <v>-3786</v>
      </c>
      <c r="H95" s="155">
        <f>43786-H86</f>
        <v>12664</v>
      </c>
      <c r="I95" s="155">
        <f>46461-I86</f>
        <v>15339</v>
      </c>
      <c r="J95" s="155">
        <f>62811-J86</f>
        <v>31689</v>
      </c>
      <c r="K95" s="155">
        <f>65336-K86</f>
        <v>34214</v>
      </c>
      <c r="L95" s="135">
        <f>SUM(B95:K95)</f>
        <v>90120</v>
      </c>
    </row>
    <row r="96" spans="1:29" s="105" customFormat="1" x14ac:dyDescent="0.3">
      <c r="A96" s="160" t="s">
        <v>134</v>
      </c>
      <c r="L96" s="108"/>
    </row>
    <row r="97" spans="1:30" ht="15" thickBot="1" x14ac:dyDescent="0.35">
      <c r="A97" s="161" t="s">
        <v>133</v>
      </c>
      <c r="B97" s="156"/>
      <c r="C97" s="156"/>
      <c r="D97" s="156"/>
      <c r="E97" s="156"/>
      <c r="F97" s="156"/>
      <c r="G97" s="156"/>
      <c r="H97" s="156"/>
      <c r="I97" s="156"/>
      <c r="J97" s="156"/>
      <c r="K97" s="156"/>
      <c r="L97" s="162">
        <f>SUM(L94:L95)</f>
        <v>1434568</v>
      </c>
    </row>
    <row r="98" spans="1:30" x14ac:dyDescent="0.3">
      <c r="G98" s="16"/>
      <c r="H98" s="16"/>
      <c r="I98" s="16"/>
      <c r="J98" s="16"/>
      <c r="K98" s="16"/>
      <c r="L98" s="132"/>
    </row>
    <row r="99" spans="1:30" ht="90" x14ac:dyDescent="0.35">
      <c r="A99" s="86" t="s">
        <v>135</v>
      </c>
      <c r="L99" s="132"/>
    </row>
    <row r="100" spans="1:30" x14ac:dyDescent="0.3">
      <c r="L100" s="132"/>
    </row>
    <row r="101" spans="1:30" ht="18" x14ac:dyDescent="0.35">
      <c r="A101" s="61" t="s">
        <v>138</v>
      </c>
      <c r="L101" s="132"/>
    </row>
    <row r="102" spans="1:30" ht="18" x14ac:dyDescent="0.35">
      <c r="A102" s="85"/>
      <c r="L102" s="132"/>
    </row>
    <row r="103" spans="1:30" ht="18" x14ac:dyDescent="0.35">
      <c r="A103" s="61" t="s">
        <v>74</v>
      </c>
      <c r="B103" s="62" t="s">
        <v>92</v>
      </c>
      <c r="C103" s="62" t="s">
        <v>1</v>
      </c>
      <c r="D103" s="62" t="s">
        <v>2</v>
      </c>
      <c r="E103" s="62" t="s">
        <v>3</v>
      </c>
      <c r="F103" s="62" t="s">
        <v>4</v>
      </c>
      <c r="G103" s="62" t="s">
        <v>5</v>
      </c>
      <c r="H103" s="62" t="s">
        <v>6</v>
      </c>
      <c r="I103" s="62" t="s">
        <v>7</v>
      </c>
      <c r="J103" s="62" t="s">
        <v>8</v>
      </c>
      <c r="K103" s="62" t="s">
        <v>9</v>
      </c>
      <c r="L103" s="127" t="s">
        <v>10</v>
      </c>
      <c r="M103" s="62" t="s">
        <v>11</v>
      </c>
      <c r="N103" s="62" t="s">
        <v>12</v>
      </c>
      <c r="O103" s="62" t="s">
        <v>13</v>
      </c>
      <c r="P103" s="62" t="s">
        <v>14</v>
      </c>
      <c r="Q103" s="62" t="s">
        <v>15</v>
      </c>
      <c r="R103" s="62" t="s">
        <v>16</v>
      </c>
      <c r="S103" s="62" t="s">
        <v>17</v>
      </c>
      <c r="T103" s="62" t="s">
        <v>18</v>
      </c>
      <c r="U103" s="62" t="s">
        <v>19</v>
      </c>
      <c r="V103" s="62" t="s">
        <v>20</v>
      </c>
      <c r="W103" s="62" t="s">
        <v>21</v>
      </c>
      <c r="X103" s="62" t="s">
        <v>22</v>
      </c>
      <c r="Y103" s="62" t="s">
        <v>23</v>
      </c>
      <c r="Z103" s="62" t="s">
        <v>24</v>
      </c>
      <c r="AA103" s="62" t="s">
        <v>25</v>
      </c>
      <c r="AB103" s="63" t="s">
        <v>26</v>
      </c>
      <c r="AC103" s="64" t="s">
        <v>27</v>
      </c>
      <c r="AD103" s="5"/>
    </row>
    <row r="104" spans="1:30" ht="18" x14ac:dyDescent="0.35">
      <c r="A104" s="61" t="s">
        <v>28</v>
      </c>
      <c r="B104" s="62"/>
      <c r="C104" s="62"/>
      <c r="D104" s="62"/>
      <c r="E104" s="62"/>
      <c r="F104" s="62"/>
      <c r="G104" s="62"/>
      <c r="H104" s="62"/>
      <c r="I104" s="62"/>
      <c r="J104" s="62"/>
      <c r="K104" s="62"/>
      <c r="L104" s="178"/>
      <c r="M104" s="62"/>
      <c r="N104" s="62"/>
      <c r="O104" s="62"/>
      <c r="P104" s="62"/>
      <c r="Q104" s="62"/>
      <c r="R104" s="62"/>
      <c r="S104" s="62"/>
      <c r="T104" s="62"/>
      <c r="U104" s="62"/>
      <c r="V104" s="62"/>
      <c r="W104" s="62"/>
      <c r="X104" s="62"/>
      <c r="Y104" s="62"/>
      <c r="Z104" s="62"/>
      <c r="AA104" s="62"/>
      <c r="AB104" s="63"/>
      <c r="AC104" s="64"/>
      <c r="AD104" s="5"/>
    </row>
    <row r="105" spans="1:30" x14ac:dyDescent="0.3">
      <c r="L105" s="132"/>
    </row>
    <row r="106" spans="1:30" ht="18" x14ac:dyDescent="0.35">
      <c r="A106" s="1" t="s">
        <v>29</v>
      </c>
      <c r="B106" s="9"/>
      <c r="C106" s="9"/>
      <c r="D106" s="9"/>
      <c r="E106" s="9"/>
      <c r="F106" s="9"/>
      <c r="G106" s="9"/>
      <c r="H106" s="9"/>
      <c r="I106" s="9"/>
      <c r="J106" s="9"/>
      <c r="K106" s="9"/>
      <c r="L106" s="129"/>
      <c r="M106" s="11"/>
      <c r="N106" s="11"/>
      <c r="O106" s="11"/>
      <c r="P106" s="11"/>
      <c r="Q106" s="11"/>
      <c r="R106" s="11"/>
      <c r="S106" s="11"/>
      <c r="T106" s="11"/>
      <c r="U106" s="11"/>
      <c r="V106" s="11"/>
      <c r="W106" s="11"/>
      <c r="X106" s="11"/>
      <c r="Y106" s="11"/>
      <c r="Z106" s="11"/>
      <c r="AA106" s="11"/>
      <c r="AB106" s="12"/>
      <c r="AC106" s="11"/>
    </row>
    <row r="107" spans="1:30" ht="18" x14ac:dyDescent="0.35">
      <c r="A107" s="13" t="s">
        <v>30</v>
      </c>
      <c r="B107" s="9"/>
      <c r="C107" s="9"/>
      <c r="D107" s="9"/>
      <c r="E107" s="9"/>
      <c r="F107" s="9"/>
      <c r="G107" s="9"/>
      <c r="H107" s="9"/>
      <c r="I107" s="9"/>
      <c r="J107" s="9"/>
      <c r="K107" s="9"/>
      <c r="L107" s="129"/>
      <c r="M107" s="11"/>
      <c r="N107" s="11"/>
      <c r="O107" s="11"/>
      <c r="P107" s="11"/>
      <c r="Q107" s="11"/>
      <c r="R107" s="11"/>
      <c r="S107" s="11"/>
      <c r="T107" s="11"/>
      <c r="U107" s="11"/>
      <c r="V107" s="11"/>
      <c r="W107" s="11"/>
      <c r="X107" s="11"/>
      <c r="Y107" s="11"/>
      <c r="Z107" s="11"/>
      <c r="AA107" s="11"/>
      <c r="AB107" s="12"/>
      <c r="AC107" s="11"/>
    </row>
    <row r="108" spans="1:30" ht="18" x14ac:dyDescent="0.35">
      <c r="A108" s="14" t="s">
        <v>31</v>
      </c>
      <c r="B108" s="9">
        <v>13250</v>
      </c>
      <c r="C108" s="9">
        <v>17250</v>
      </c>
      <c r="D108" s="9">
        <v>17250</v>
      </c>
      <c r="E108" s="9">
        <v>17250</v>
      </c>
      <c r="F108" s="9">
        <v>17250</v>
      </c>
      <c r="G108" s="9">
        <v>17250</v>
      </c>
      <c r="H108" s="9">
        <v>17250</v>
      </c>
      <c r="I108" s="9">
        <v>17250</v>
      </c>
      <c r="J108" s="9">
        <v>17250</v>
      </c>
      <c r="K108" s="9">
        <v>17250</v>
      </c>
      <c r="L108" s="128">
        <f t="shared" ref="L108:L114" si="39">SUM(B108:K108)</f>
        <v>168500</v>
      </c>
      <c r="M108" s="9">
        <v>17250</v>
      </c>
      <c r="N108" s="9">
        <v>17250</v>
      </c>
      <c r="O108" s="9">
        <v>17250</v>
      </c>
      <c r="P108" s="9">
        <v>17250</v>
      </c>
      <c r="Q108" s="9">
        <v>17250</v>
      </c>
      <c r="R108" s="9">
        <v>17250</v>
      </c>
      <c r="S108" s="9">
        <v>17250</v>
      </c>
      <c r="T108" s="9">
        <v>17250</v>
      </c>
      <c r="U108" s="9">
        <v>17250</v>
      </c>
      <c r="V108" s="9">
        <v>17250</v>
      </c>
      <c r="W108" s="9">
        <v>17250</v>
      </c>
      <c r="X108" s="9">
        <v>17250</v>
      </c>
      <c r="Y108" s="9">
        <v>17250</v>
      </c>
      <c r="Z108" s="9">
        <v>17250</v>
      </c>
      <c r="AA108" s="9">
        <v>17250</v>
      </c>
      <c r="AB108" s="12">
        <f t="shared" ref="AB108:AB115" si="40">SUM(M108:AA108)</f>
        <v>258750</v>
      </c>
      <c r="AC108" s="9">
        <f>L108+AB108</f>
        <v>427250</v>
      </c>
    </row>
    <row r="109" spans="1:30" ht="18" x14ac:dyDescent="0.35">
      <c r="A109" s="14" t="s">
        <v>32</v>
      </c>
      <c r="B109" s="9">
        <v>13250</v>
      </c>
      <c r="C109" s="9">
        <v>17250</v>
      </c>
      <c r="D109" s="9">
        <v>17250</v>
      </c>
      <c r="E109" s="9">
        <v>17250</v>
      </c>
      <c r="F109" s="9">
        <v>17250</v>
      </c>
      <c r="G109" s="9">
        <v>17250</v>
      </c>
      <c r="H109" s="9">
        <v>17250</v>
      </c>
      <c r="I109" s="9">
        <v>17250</v>
      </c>
      <c r="J109" s="9">
        <v>17250</v>
      </c>
      <c r="K109" s="9">
        <v>17250</v>
      </c>
      <c r="L109" s="128">
        <f t="shared" si="39"/>
        <v>168500</v>
      </c>
      <c r="M109" s="9">
        <v>17250</v>
      </c>
      <c r="N109" s="9">
        <v>17250</v>
      </c>
      <c r="O109" s="9">
        <v>17250</v>
      </c>
      <c r="P109" s="9">
        <v>17250</v>
      </c>
      <c r="Q109" s="9">
        <v>17250</v>
      </c>
      <c r="R109" s="9">
        <v>17250</v>
      </c>
      <c r="S109" s="9">
        <v>17250</v>
      </c>
      <c r="T109" s="9">
        <v>17250</v>
      </c>
      <c r="U109" s="9">
        <v>17250</v>
      </c>
      <c r="V109" s="9">
        <v>17250</v>
      </c>
      <c r="W109" s="9">
        <v>17250</v>
      </c>
      <c r="X109" s="9">
        <v>17250</v>
      </c>
      <c r="Y109" s="9">
        <v>17250</v>
      </c>
      <c r="Z109" s="9">
        <v>17250</v>
      </c>
      <c r="AA109" s="9">
        <v>17250</v>
      </c>
      <c r="AB109" s="12">
        <f t="shared" si="40"/>
        <v>258750</v>
      </c>
      <c r="AC109" s="9">
        <f>L109+AB109</f>
        <v>427250</v>
      </c>
    </row>
    <row r="110" spans="1:30" ht="18" x14ac:dyDescent="0.35">
      <c r="A110" s="14" t="s">
        <v>33</v>
      </c>
      <c r="B110" s="9">
        <v>0</v>
      </c>
      <c r="C110" s="9">
        <v>0</v>
      </c>
      <c r="D110" s="9">
        <v>0</v>
      </c>
      <c r="E110" s="9">
        <v>0</v>
      </c>
      <c r="F110" s="9">
        <v>0</v>
      </c>
      <c r="G110" s="9">
        <v>0</v>
      </c>
      <c r="H110" s="9">
        <v>0</v>
      </c>
      <c r="I110" s="9">
        <v>0</v>
      </c>
      <c r="J110" s="9">
        <v>0</v>
      </c>
      <c r="K110" s="9">
        <v>0</v>
      </c>
      <c r="L110" s="128">
        <f t="shared" si="39"/>
        <v>0</v>
      </c>
      <c r="M110" s="9">
        <v>0</v>
      </c>
      <c r="N110" s="9">
        <v>0</v>
      </c>
      <c r="O110" s="9">
        <v>0</v>
      </c>
      <c r="P110" s="9">
        <v>0</v>
      </c>
      <c r="Q110" s="9">
        <v>0</v>
      </c>
      <c r="R110" s="9">
        <v>0</v>
      </c>
      <c r="S110" s="9">
        <v>0</v>
      </c>
      <c r="T110" s="9">
        <v>0</v>
      </c>
      <c r="U110" s="9">
        <v>0</v>
      </c>
      <c r="V110" s="9">
        <v>0</v>
      </c>
      <c r="W110" s="9">
        <v>0</v>
      </c>
      <c r="X110" s="9">
        <v>0</v>
      </c>
      <c r="Y110" s="9">
        <v>0</v>
      </c>
      <c r="Z110" s="9">
        <v>0</v>
      </c>
      <c r="AA110" s="9">
        <v>0</v>
      </c>
      <c r="AB110" s="12">
        <f t="shared" si="40"/>
        <v>0</v>
      </c>
      <c r="AC110" s="9">
        <f t="shared" ref="AC110:AC115" si="41">L110+AB110</f>
        <v>0</v>
      </c>
    </row>
    <row r="111" spans="1:30" ht="18" x14ac:dyDescent="0.35">
      <c r="A111" s="14" t="s">
        <v>34</v>
      </c>
      <c r="B111" s="9">
        <v>0</v>
      </c>
      <c r="C111" s="9">
        <v>0</v>
      </c>
      <c r="D111" s="9">
        <v>0</v>
      </c>
      <c r="E111" s="9">
        <v>0</v>
      </c>
      <c r="F111" s="9">
        <v>0</v>
      </c>
      <c r="G111" s="9">
        <v>0</v>
      </c>
      <c r="H111" s="9">
        <v>0</v>
      </c>
      <c r="I111" s="9">
        <v>0</v>
      </c>
      <c r="J111" s="9">
        <v>0</v>
      </c>
      <c r="K111" s="9">
        <v>0</v>
      </c>
      <c r="L111" s="128">
        <f t="shared" si="39"/>
        <v>0</v>
      </c>
      <c r="M111" s="9">
        <v>0</v>
      </c>
      <c r="N111" s="9">
        <v>0</v>
      </c>
      <c r="O111" s="9">
        <v>0</v>
      </c>
      <c r="P111" s="9">
        <v>0</v>
      </c>
      <c r="Q111" s="9">
        <v>0</v>
      </c>
      <c r="R111" s="9">
        <v>0</v>
      </c>
      <c r="S111" s="9">
        <v>0</v>
      </c>
      <c r="T111" s="9">
        <v>0</v>
      </c>
      <c r="U111" s="9">
        <v>0</v>
      </c>
      <c r="V111" s="9">
        <v>0</v>
      </c>
      <c r="W111" s="9">
        <v>0</v>
      </c>
      <c r="X111" s="9">
        <v>0</v>
      </c>
      <c r="Y111" s="9">
        <v>0</v>
      </c>
      <c r="Z111" s="9">
        <v>0</v>
      </c>
      <c r="AA111" s="9">
        <v>0</v>
      </c>
      <c r="AB111" s="12">
        <f t="shared" si="40"/>
        <v>0</v>
      </c>
      <c r="AC111" s="9">
        <f t="shared" si="41"/>
        <v>0</v>
      </c>
    </row>
    <row r="112" spans="1:30" ht="18" x14ac:dyDescent="0.35">
      <c r="A112" s="14" t="s">
        <v>35</v>
      </c>
      <c r="B112" s="9">
        <v>12250</v>
      </c>
      <c r="C112" s="9">
        <v>12250</v>
      </c>
      <c r="D112" s="9">
        <v>12250</v>
      </c>
      <c r="E112" s="9">
        <v>12250</v>
      </c>
      <c r="F112" s="9">
        <v>12250</v>
      </c>
      <c r="G112" s="9">
        <v>12250</v>
      </c>
      <c r="H112" s="9">
        <v>12250</v>
      </c>
      <c r="I112" s="9">
        <v>12250</v>
      </c>
      <c r="J112" s="9">
        <v>12250</v>
      </c>
      <c r="K112" s="9">
        <v>12250</v>
      </c>
      <c r="L112" s="128">
        <f t="shared" si="39"/>
        <v>122500</v>
      </c>
      <c r="M112" s="9">
        <v>12250</v>
      </c>
      <c r="N112" s="9">
        <v>12250</v>
      </c>
      <c r="O112" s="9">
        <v>12250</v>
      </c>
      <c r="P112" s="9">
        <v>12250</v>
      </c>
      <c r="Q112" s="9">
        <v>12250</v>
      </c>
      <c r="R112" s="9">
        <v>12250</v>
      </c>
      <c r="S112" s="9">
        <v>12250</v>
      </c>
      <c r="T112" s="9">
        <v>12250</v>
      </c>
      <c r="U112" s="9">
        <v>12250</v>
      </c>
      <c r="V112" s="9">
        <v>12250</v>
      </c>
      <c r="W112" s="9">
        <v>12250</v>
      </c>
      <c r="X112" s="9">
        <v>12250</v>
      </c>
      <c r="Y112" s="9">
        <v>12250</v>
      </c>
      <c r="Z112" s="9">
        <v>12250</v>
      </c>
      <c r="AA112" s="9">
        <v>12250</v>
      </c>
      <c r="AB112" s="12">
        <f t="shared" si="40"/>
        <v>183750</v>
      </c>
      <c r="AC112" s="9">
        <f t="shared" si="41"/>
        <v>306250</v>
      </c>
    </row>
    <row r="113" spans="1:29" ht="18" x14ac:dyDescent="0.35">
      <c r="A113" s="14" t="s">
        <v>36</v>
      </c>
      <c r="B113" s="9">
        <v>5250</v>
      </c>
      <c r="C113" s="9">
        <v>5250</v>
      </c>
      <c r="D113" s="9">
        <v>5250</v>
      </c>
      <c r="E113" s="9">
        <v>5250</v>
      </c>
      <c r="F113" s="9">
        <v>5250</v>
      </c>
      <c r="G113" s="9">
        <v>5250</v>
      </c>
      <c r="H113" s="9">
        <v>5250</v>
      </c>
      <c r="I113" s="9">
        <v>5250</v>
      </c>
      <c r="J113" s="9">
        <v>5250</v>
      </c>
      <c r="K113" s="9">
        <v>5250</v>
      </c>
      <c r="L113" s="128">
        <f t="shared" si="39"/>
        <v>52500</v>
      </c>
      <c r="M113" s="9">
        <v>5250</v>
      </c>
      <c r="N113" s="9">
        <v>5250</v>
      </c>
      <c r="O113" s="9">
        <v>5250</v>
      </c>
      <c r="P113" s="9">
        <v>5250</v>
      </c>
      <c r="Q113" s="9">
        <v>5250</v>
      </c>
      <c r="R113" s="9">
        <v>5250</v>
      </c>
      <c r="S113" s="9">
        <v>5250</v>
      </c>
      <c r="T113" s="9">
        <v>5250</v>
      </c>
      <c r="U113" s="9">
        <v>5250</v>
      </c>
      <c r="V113" s="9">
        <v>5250</v>
      </c>
      <c r="W113" s="9">
        <v>5250</v>
      </c>
      <c r="X113" s="9">
        <v>5250</v>
      </c>
      <c r="Y113" s="9">
        <v>5250</v>
      </c>
      <c r="Z113" s="9">
        <v>5250</v>
      </c>
      <c r="AA113" s="9">
        <v>5250</v>
      </c>
      <c r="AB113" s="12">
        <f t="shared" si="40"/>
        <v>78750</v>
      </c>
      <c r="AC113" s="9">
        <f t="shared" si="41"/>
        <v>131250</v>
      </c>
    </row>
    <row r="114" spans="1:29" ht="18" x14ac:dyDescent="0.35">
      <c r="A114" s="14" t="s">
        <v>37</v>
      </c>
      <c r="B114" s="9">
        <v>70000</v>
      </c>
      <c r="C114" s="9">
        <v>62000</v>
      </c>
      <c r="D114" s="9">
        <v>62000</v>
      </c>
      <c r="E114" s="9">
        <v>62000</v>
      </c>
      <c r="F114" s="9">
        <v>62000</v>
      </c>
      <c r="G114" s="9">
        <v>62000</v>
      </c>
      <c r="H114" s="9">
        <v>62000</v>
      </c>
      <c r="I114" s="9">
        <v>62000</v>
      </c>
      <c r="J114" s="9">
        <v>62000</v>
      </c>
      <c r="K114" s="9">
        <v>62000</v>
      </c>
      <c r="L114" s="128">
        <f t="shared" si="39"/>
        <v>628000</v>
      </c>
      <c r="M114" s="9">
        <v>62000</v>
      </c>
      <c r="N114" s="9">
        <v>62000</v>
      </c>
      <c r="O114" s="9">
        <v>62000</v>
      </c>
      <c r="P114" s="9">
        <v>62000</v>
      </c>
      <c r="Q114" s="9">
        <v>62000</v>
      </c>
      <c r="R114" s="9">
        <v>62000</v>
      </c>
      <c r="S114" s="9">
        <v>62000</v>
      </c>
      <c r="T114" s="9">
        <v>62000</v>
      </c>
      <c r="U114" s="9">
        <v>62000</v>
      </c>
      <c r="V114" s="9">
        <v>62000</v>
      </c>
      <c r="W114" s="9">
        <v>62000</v>
      </c>
      <c r="X114" s="9">
        <v>62000</v>
      </c>
      <c r="Y114" s="9">
        <v>62000</v>
      </c>
      <c r="Z114" s="9">
        <v>62000</v>
      </c>
      <c r="AA114" s="9">
        <v>62000</v>
      </c>
      <c r="AB114" s="12">
        <f t="shared" si="40"/>
        <v>930000</v>
      </c>
      <c r="AC114" s="9">
        <f t="shared" si="41"/>
        <v>1558000</v>
      </c>
    </row>
    <row r="115" spans="1:29" ht="18" x14ac:dyDescent="0.35">
      <c r="A115" s="15" t="s">
        <v>122</v>
      </c>
      <c r="B115" s="2">
        <f>SUM(B108:B114)</f>
        <v>114000</v>
      </c>
      <c r="C115" s="2">
        <f>SUM(C108:C114)</f>
        <v>114000</v>
      </c>
      <c r="D115" s="2">
        <f t="shared" ref="D115:K115" si="42">SUM(D108:D114)</f>
        <v>114000</v>
      </c>
      <c r="E115" s="2">
        <f t="shared" si="42"/>
        <v>114000</v>
      </c>
      <c r="F115" s="2">
        <f t="shared" si="42"/>
        <v>114000</v>
      </c>
      <c r="G115" s="2">
        <f t="shared" si="42"/>
        <v>114000</v>
      </c>
      <c r="H115" s="2">
        <f t="shared" si="42"/>
        <v>114000</v>
      </c>
      <c r="I115" s="2">
        <f t="shared" si="42"/>
        <v>114000</v>
      </c>
      <c r="J115" s="2">
        <f t="shared" si="42"/>
        <v>114000</v>
      </c>
      <c r="K115" s="2">
        <f t="shared" si="42"/>
        <v>114000</v>
      </c>
      <c r="L115" s="127">
        <f>SUM(B115:K115)</f>
        <v>1140000</v>
      </c>
      <c r="M115" s="2">
        <f>SUM(M108:M114)</f>
        <v>114000</v>
      </c>
      <c r="N115" s="2">
        <f t="shared" ref="N115:AA115" si="43">SUM(N108:N114)</f>
        <v>114000</v>
      </c>
      <c r="O115" s="2">
        <f t="shared" si="43"/>
        <v>114000</v>
      </c>
      <c r="P115" s="2">
        <f t="shared" si="43"/>
        <v>114000</v>
      </c>
      <c r="Q115" s="2">
        <f t="shared" si="43"/>
        <v>114000</v>
      </c>
      <c r="R115" s="2">
        <f t="shared" si="43"/>
        <v>114000</v>
      </c>
      <c r="S115" s="2">
        <f t="shared" si="43"/>
        <v>114000</v>
      </c>
      <c r="T115" s="2">
        <f t="shared" si="43"/>
        <v>114000</v>
      </c>
      <c r="U115" s="2">
        <f t="shared" si="43"/>
        <v>114000</v>
      </c>
      <c r="V115" s="2">
        <f t="shared" si="43"/>
        <v>114000</v>
      </c>
      <c r="W115" s="2">
        <f t="shared" si="43"/>
        <v>114000</v>
      </c>
      <c r="X115" s="2">
        <f t="shared" si="43"/>
        <v>114000</v>
      </c>
      <c r="Y115" s="2">
        <f t="shared" si="43"/>
        <v>114000</v>
      </c>
      <c r="Z115" s="2">
        <f t="shared" si="43"/>
        <v>114000</v>
      </c>
      <c r="AA115" s="2">
        <f t="shared" si="43"/>
        <v>114000</v>
      </c>
      <c r="AB115" s="3">
        <f t="shared" si="40"/>
        <v>1710000</v>
      </c>
      <c r="AC115" s="2">
        <f t="shared" si="41"/>
        <v>2850000</v>
      </c>
    </row>
    <row r="116" spans="1:29" x14ac:dyDescent="0.3">
      <c r="L116" s="132"/>
    </row>
    <row r="117" spans="1:29" ht="36" x14ac:dyDescent="0.35">
      <c r="A117" s="17" t="s">
        <v>38</v>
      </c>
      <c r="B117" s="9">
        <v>12000</v>
      </c>
      <c r="C117" s="9">
        <v>12000</v>
      </c>
      <c r="D117" s="9">
        <v>12000</v>
      </c>
      <c r="E117" s="9">
        <v>12000</v>
      </c>
      <c r="F117" s="9">
        <v>12000</v>
      </c>
      <c r="G117" s="9">
        <v>12000</v>
      </c>
      <c r="H117" s="9">
        <v>12000</v>
      </c>
      <c r="I117" s="9">
        <v>12000</v>
      </c>
      <c r="J117" s="9">
        <v>12000</v>
      </c>
      <c r="K117" s="9">
        <v>12000</v>
      </c>
      <c r="L117" s="127">
        <f>SUM(B117:K117)</f>
        <v>120000</v>
      </c>
      <c r="M117" s="9">
        <v>12000</v>
      </c>
      <c r="N117" s="9">
        <v>12000</v>
      </c>
      <c r="O117" s="9">
        <v>12000</v>
      </c>
      <c r="P117" s="9">
        <v>12000</v>
      </c>
      <c r="Q117" s="9">
        <v>12000</v>
      </c>
      <c r="R117" s="9">
        <v>12000</v>
      </c>
      <c r="S117" s="9">
        <v>12000</v>
      </c>
      <c r="T117" s="9">
        <v>12000</v>
      </c>
      <c r="U117" s="9">
        <v>12000</v>
      </c>
      <c r="V117" s="9">
        <v>12000</v>
      </c>
      <c r="W117" s="9">
        <v>12000</v>
      </c>
      <c r="X117" s="9">
        <v>12000</v>
      </c>
      <c r="Y117" s="9">
        <v>12000</v>
      </c>
      <c r="Z117" s="9">
        <v>12000</v>
      </c>
      <c r="AA117" s="9">
        <v>12000</v>
      </c>
      <c r="AB117" s="3">
        <f>SUM(M117:AA117)</f>
        <v>180000</v>
      </c>
      <c r="AC117" s="9">
        <f t="shared" ref="AC117" si="44">L117+AB117</f>
        <v>300000</v>
      </c>
    </row>
    <row r="118" spans="1:29" ht="18" x14ac:dyDescent="0.35">
      <c r="A118" s="13"/>
      <c r="B118" s="9"/>
      <c r="C118" s="9"/>
      <c r="D118" s="9"/>
      <c r="E118" s="9"/>
      <c r="F118" s="9"/>
      <c r="G118" s="9"/>
      <c r="H118" s="9"/>
      <c r="I118" s="9"/>
      <c r="J118" s="9"/>
      <c r="K118" s="9"/>
      <c r="L118" s="127"/>
      <c r="M118" s="9"/>
      <c r="N118" s="9"/>
      <c r="O118" s="9"/>
      <c r="P118" s="9"/>
      <c r="Q118" s="9"/>
      <c r="R118" s="9"/>
      <c r="S118" s="9"/>
      <c r="T118" s="9"/>
      <c r="U118" s="9"/>
      <c r="V118" s="9"/>
      <c r="W118" s="9"/>
      <c r="X118" s="9"/>
      <c r="Y118" s="9"/>
      <c r="Z118" s="9"/>
      <c r="AA118" s="9"/>
      <c r="AB118" s="3"/>
      <c r="AC118" s="9"/>
    </row>
    <row r="119" spans="1:29" ht="36" x14ac:dyDescent="0.35">
      <c r="A119" s="17" t="s">
        <v>39</v>
      </c>
      <c r="B119" s="9">
        <v>39671</v>
      </c>
      <c r="C119" s="9">
        <v>127704.57</v>
      </c>
      <c r="D119" s="9">
        <v>2500</v>
      </c>
      <c r="E119" s="9">
        <v>3500</v>
      </c>
      <c r="F119" s="9">
        <v>2500</v>
      </c>
      <c r="G119" s="9">
        <v>3500</v>
      </c>
      <c r="H119" s="9">
        <v>2500</v>
      </c>
      <c r="I119" s="9">
        <v>3500</v>
      </c>
      <c r="J119" s="9">
        <v>2500</v>
      </c>
      <c r="K119" s="9">
        <v>3500</v>
      </c>
      <c r="L119" s="127">
        <f>SUM(B119:K119)</f>
        <v>191375.57</v>
      </c>
      <c r="M119" s="9">
        <v>2500</v>
      </c>
      <c r="N119" s="9">
        <v>2500</v>
      </c>
      <c r="O119" s="9">
        <v>2500</v>
      </c>
      <c r="P119" s="9">
        <v>2500</v>
      </c>
      <c r="Q119" s="9">
        <v>2500</v>
      </c>
      <c r="R119" s="9">
        <v>2500</v>
      </c>
      <c r="S119" s="9">
        <v>2500</v>
      </c>
      <c r="T119" s="9">
        <v>2500</v>
      </c>
      <c r="U119" s="9">
        <v>2500</v>
      </c>
      <c r="V119" s="9">
        <v>2500</v>
      </c>
      <c r="W119" s="9">
        <v>2500</v>
      </c>
      <c r="X119" s="9">
        <v>2500</v>
      </c>
      <c r="Y119" s="9">
        <v>2500</v>
      </c>
      <c r="Z119" s="9">
        <v>2500</v>
      </c>
      <c r="AA119" s="9">
        <v>2500</v>
      </c>
      <c r="AB119" s="3">
        <f>SUM(M119:AA119)</f>
        <v>37500</v>
      </c>
      <c r="AC119" s="9">
        <f t="shared" ref="AC119:AC122" si="45">L119+AB119</f>
        <v>228875.57</v>
      </c>
    </row>
    <row r="120" spans="1:29" ht="18" x14ac:dyDescent="0.35">
      <c r="A120" s="14"/>
      <c r="B120" s="9"/>
      <c r="C120" s="9"/>
      <c r="D120" s="9"/>
      <c r="E120" s="9"/>
      <c r="F120" s="9"/>
      <c r="G120" s="9"/>
      <c r="H120" s="9"/>
      <c r="I120" s="9"/>
      <c r="J120" s="9"/>
      <c r="K120" s="9"/>
      <c r="L120" s="127"/>
      <c r="M120" s="9"/>
      <c r="N120" s="9"/>
      <c r="O120" s="9"/>
      <c r="P120" s="9"/>
      <c r="Q120" s="9"/>
      <c r="R120" s="9"/>
      <c r="S120" s="9"/>
      <c r="T120" s="9"/>
      <c r="U120" s="9"/>
      <c r="V120" s="9"/>
      <c r="W120" s="9"/>
      <c r="X120" s="9"/>
      <c r="Y120" s="9"/>
      <c r="Z120" s="9"/>
      <c r="AA120" s="9"/>
      <c r="AB120" s="3"/>
      <c r="AC120" s="9"/>
    </row>
    <row r="121" spans="1:29" ht="36" x14ac:dyDescent="0.35">
      <c r="A121" s="17" t="s">
        <v>40</v>
      </c>
      <c r="B121" s="9">
        <v>0</v>
      </c>
      <c r="C121" s="9">
        <v>0</v>
      </c>
      <c r="D121" s="9">
        <v>0</v>
      </c>
      <c r="E121" s="9">
        <v>0</v>
      </c>
      <c r="F121" s="9">
        <v>0</v>
      </c>
      <c r="G121" s="9">
        <v>0</v>
      </c>
      <c r="H121" s="9">
        <v>0</v>
      </c>
      <c r="I121" s="9">
        <v>0</v>
      </c>
      <c r="J121" s="9">
        <v>0</v>
      </c>
      <c r="K121" s="9">
        <v>0</v>
      </c>
      <c r="L121" s="127">
        <f>SUM(B121:K121)</f>
        <v>0</v>
      </c>
      <c r="M121" s="9">
        <v>0</v>
      </c>
      <c r="N121" s="9">
        <v>0</v>
      </c>
      <c r="O121" s="9">
        <v>0</v>
      </c>
      <c r="P121" s="9">
        <v>0</v>
      </c>
      <c r="Q121" s="9">
        <v>0</v>
      </c>
      <c r="R121" s="9">
        <v>0</v>
      </c>
      <c r="S121" s="9">
        <v>0</v>
      </c>
      <c r="T121" s="9">
        <v>0</v>
      </c>
      <c r="U121" s="9">
        <v>0</v>
      </c>
      <c r="V121" s="9">
        <v>0</v>
      </c>
      <c r="W121" s="9">
        <v>0</v>
      </c>
      <c r="X121" s="9">
        <v>0</v>
      </c>
      <c r="Y121" s="9">
        <v>0</v>
      </c>
      <c r="Z121" s="9">
        <v>0</v>
      </c>
      <c r="AA121" s="9">
        <v>0</v>
      </c>
      <c r="AB121" s="3">
        <f>SUM(M121:AA121)</f>
        <v>0</v>
      </c>
      <c r="AC121" s="9">
        <f t="shared" si="45"/>
        <v>0</v>
      </c>
    </row>
    <row r="122" spans="1:29" ht="18" x14ac:dyDescent="0.35">
      <c r="A122" s="17" t="s">
        <v>41</v>
      </c>
      <c r="B122" s="9">
        <v>0</v>
      </c>
      <c r="C122" s="9">
        <v>0</v>
      </c>
      <c r="D122" s="9">
        <v>0</v>
      </c>
      <c r="E122" s="9">
        <v>0</v>
      </c>
      <c r="F122" s="9">
        <v>0</v>
      </c>
      <c r="G122" s="9">
        <v>0</v>
      </c>
      <c r="H122" s="9">
        <v>0</v>
      </c>
      <c r="I122" s="9">
        <v>0</v>
      </c>
      <c r="J122" s="9">
        <v>0</v>
      </c>
      <c r="K122" s="9">
        <v>0</v>
      </c>
      <c r="L122" s="127">
        <f>SUM(B122:K122)</f>
        <v>0</v>
      </c>
      <c r="M122" s="9">
        <v>0</v>
      </c>
      <c r="N122" s="9">
        <v>0</v>
      </c>
      <c r="O122" s="9">
        <v>0</v>
      </c>
      <c r="P122" s="9">
        <v>0</v>
      </c>
      <c r="Q122" s="9">
        <v>0</v>
      </c>
      <c r="R122" s="9">
        <v>0</v>
      </c>
      <c r="S122" s="9">
        <v>0</v>
      </c>
      <c r="T122" s="9">
        <v>0</v>
      </c>
      <c r="U122" s="9">
        <v>0</v>
      </c>
      <c r="V122" s="9">
        <v>0</v>
      </c>
      <c r="W122" s="9">
        <v>0</v>
      </c>
      <c r="X122" s="9">
        <v>0</v>
      </c>
      <c r="Y122" s="9">
        <v>0</v>
      </c>
      <c r="Z122" s="9">
        <v>0</v>
      </c>
      <c r="AA122" s="9">
        <v>0</v>
      </c>
      <c r="AB122" s="3">
        <f>SUM(M122:AA122)</f>
        <v>0</v>
      </c>
      <c r="AC122" s="9">
        <f t="shared" si="45"/>
        <v>0</v>
      </c>
    </row>
    <row r="123" spans="1:29" x14ac:dyDescent="0.3">
      <c r="L123" s="132"/>
    </row>
    <row r="124" spans="1:29" ht="36" x14ac:dyDescent="0.35">
      <c r="A124" s="19" t="s">
        <v>42</v>
      </c>
      <c r="B124" s="9">
        <v>33000</v>
      </c>
      <c r="C124" s="9">
        <v>15100</v>
      </c>
      <c r="D124" s="9">
        <v>16800</v>
      </c>
      <c r="E124" s="9">
        <v>17000</v>
      </c>
      <c r="F124" s="9">
        <v>23000</v>
      </c>
      <c r="G124" s="9">
        <v>16000</v>
      </c>
      <c r="H124" s="9">
        <v>20500</v>
      </c>
      <c r="I124" s="9">
        <v>15000</v>
      </c>
      <c r="J124" s="9">
        <v>15000</v>
      </c>
      <c r="K124" s="9">
        <v>20000</v>
      </c>
      <c r="L124" s="127">
        <f>SUM(B124:K124)</f>
        <v>191400</v>
      </c>
      <c r="M124" s="9">
        <v>22000</v>
      </c>
      <c r="N124" s="9">
        <v>20000</v>
      </c>
      <c r="O124" s="9">
        <v>16000</v>
      </c>
      <c r="P124" s="9">
        <v>16000</v>
      </c>
      <c r="Q124" s="9">
        <v>21000</v>
      </c>
      <c r="R124" s="9">
        <v>7500</v>
      </c>
      <c r="S124" s="9">
        <v>18500</v>
      </c>
      <c r="T124" s="9">
        <v>17500</v>
      </c>
      <c r="U124" s="9">
        <v>15000</v>
      </c>
      <c r="V124" s="9">
        <v>17500</v>
      </c>
      <c r="W124" s="9">
        <v>21000</v>
      </c>
      <c r="X124" s="9">
        <v>10000</v>
      </c>
      <c r="Y124" s="9">
        <v>19000</v>
      </c>
      <c r="Z124" s="9">
        <v>18000</v>
      </c>
      <c r="AA124" s="9">
        <v>19000</v>
      </c>
      <c r="AB124" s="3">
        <f>SUM(M124:AA124)</f>
        <v>258000</v>
      </c>
      <c r="AC124" s="9">
        <f t="shared" ref="AC124" si="46">L124+AB124</f>
        <v>449400</v>
      </c>
    </row>
    <row r="125" spans="1:29" ht="18" x14ac:dyDescent="0.35">
      <c r="A125" s="19"/>
      <c r="B125" s="9"/>
      <c r="C125" s="9"/>
      <c r="D125" s="9"/>
      <c r="E125" s="9"/>
      <c r="F125" s="9"/>
      <c r="G125" s="9"/>
      <c r="H125" s="9"/>
      <c r="I125" s="9"/>
      <c r="J125" s="9"/>
      <c r="K125" s="9"/>
      <c r="L125" s="127"/>
      <c r="M125" s="9"/>
      <c r="N125" s="9"/>
      <c r="O125" s="9"/>
      <c r="P125" s="9"/>
      <c r="Q125" s="9"/>
      <c r="R125" s="9"/>
      <c r="S125" s="9"/>
      <c r="T125" s="9"/>
      <c r="U125" s="9"/>
      <c r="V125" s="9"/>
      <c r="W125" s="9"/>
      <c r="X125" s="9"/>
      <c r="Y125" s="9"/>
      <c r="Z125" s="9"/>
      <c r="AA125" s="9"/>
      <c r="AB125" s="3"/>
      <c r="AC125" s="9"/>
    </row>
    <row r="126" spans="1:29" ht="18" x14ac:dyDescent="0.35">
      <c r="A126" s="13" t="s">
        <v>43</v>
      </c>
      <c r="B126" s="9">
        <v>157636.6</v>
      </c>
      <c r="C126" s="9">
        <v>88862</v>
      </c>
      <c r="D126" s="9">
        <v>50280</v>
      </c>
      <c r="E126" s="9">
        <v>50180</v>
      </c>
      <c r="F126" s="9">
        <v>50280</v>
      </c>
      <c r="G126" s="9">
        <v>53950</v>
      </c>
      <c r="H126" s="9">
        <v>52280</v>
      </c>
      <c r="I126" s="9">
        <v>52180</v>
      </c>
      <c r="J126" s="9">
        <v>52280</v>
      </c>
      <c r="K126" s="9">
        <v>52180</v>
      </c>
      <c r="L126" s="127">
        <f>SUM(B126:K126)</f>
        <v>660108.6</v>
      </c>
      <c r="M126" s="9">
        <v>88715</v>
      </c>
      <c r="N126" s="9">
        <v>49680</v>
      </c>
      <c r="O126" s="9">
        <v>49730</v>
      </c>
      <c r="P126" s="9">
        <v>49680</v>
      </c>
      <c r="Q126" s="9">
        <v>49730</v>
      </c>
      <c r="R126" s="9">
        <v>50280</v>
      </c>
      <c r="S126" s="9">
        <v>49730</v>
      </c>
      <c r="T126" s="9">
        <v>49680</v>
      </c>
      <c r="U126" s="9">
        <v>49730</v>
      </c>
      <c r="V126" s="9">
        <v>49680</v>
      </c>
      <c r="W126" s="9">
        <v>89115</v>
      </c>
      <c r="X126" s="9">
        <v>49680</v>
      </c>
      <c r="Y126" s="9">
        <v>49730</v>
      </c>
      <c r="Z126" s="9">
        <v>49680</v>
      </c>
      <c r="AA126" s="9">
        <v>49730</v>
      </c>
      <c r="AB126" s="3">
        <f>SUM(M126:AA126)</f>
        <v>824570</v>
      </c>
      <c r="AC126" s="9">
        <f t="shared" ref="AC126" si="47">L126+AB126</f>
        <v>1484678.6</v>
      </c>
    </row>
    <row r="127" spans="1:29" x14ac:dyDescent="0.3">
      <c r="L127" s="132"/>
    </row>
    <row r="128" spans="1:29" ht="18" x14ac:dyDescent="0.35">
      <c r="A128" s="106" t="s">
        <v>140</v>
      </c>
      <c r="B128" s="38">
        <f>SUM(B117:B127)</f>
        <v>242307.6</v>
      </c>
      <c r="C128" s="38">
        <f t="shared" ref="C128:AC128" si="48">SUM(C117:C127)</f>
        <v>243666.57</v>
      </c>
      <c r="D128" s="38">
        <f t="shared" si="48"/>
        <v>81580</v>
      </c>
      <c r="E128" s="38">
        <f t="shared" si="48"/>
        <v>82680</v>
      </c>
      <c r="F128" s="38">
        <f t="shared" si="48"/>
        <v>87780</v>
      </c>
      <c r="G128" s="38">
        <f t="shared" si="48"/>
        <v>85450</v>
      </c>
      <c r="H128" s="38">
        <f t="shared" si="48"/>
        <v>87280</v>
      </c>
      <c r="I128" s="38">
        <f t="shared" si="48"/>
        <v>82680</v>
      </c>
      <c r="J128" s="38">
        <f t="shared" si="48"/>
        <v>81780</v>
      </c>
      <c r="K128" s="38">
        <f t="shared" si="48"/>
        <v>87680</v>
      </c>
      <c r="L128" s="136">
        <f>SUM(B128:K128)</f>
        <v>1162884.17</v>
      </c>
      <c r="M128" s="2">
        <f t="shared" si="48"/>
        <v>125215</v>
      </c>
      <c r="N128" s="2">
        <f t="shared" si="48"/>
        <v>84180</v>
      </c>
      <c r="O128" s="2">
        <f t="shared" si="48"/>
        <v>80230</v>
      </c>
      <c r="P128" s="2">
        <f t="shared" si="48"/>
        <v>80180</v>
      </c>
      <c r="Q128" s="2">
        <f t="shared" si="48"/>
        <v>85230</v>
      </c>
      <c r="R128" s="2">
        <f t="shared" si="48"/>
        <v>72280</v>
      </c>
      <c r="S128" s="2">
        <f t="shared" si="48"/>
        <v>82730</v>
      </c>
      <c r="T128" s="2">
        <f t="shared" si="48"/>
        <v>81680</v>
      </c>
      <c r="U128" s="2">
        <f t="shared" si="48"/>
        <v>79230</v>
      </c>
      <c r="V128" s="2">
        <f t="shared" si="48"/>
        <v>81680</v>
      </c>
      <c r="W128" s="2">
        <f t="shared" si="48"/>
        <v>124615</v>
      </c>
      <c r="X128" s="2">
        <f t="shared" si="48"/>
        <v>74180</v>
      </c>
      <c r="Y128" s="2">
        <f t="shared" si="48"/>
        <v>83230</v>
      </c>
      <c r="Z128" s="2">
        <f t="shared" si="48"/>
        <v>82180</v>
      </c>
      <c r="AA128" s="2">
        <f t="shared" si="48"/>
        <v>83230</v>
      </c>
      <c r="AB128" s="2">
        <f t="shared" si="48"/>
        <v>1300070</v>
      </c>
      <c r="AC128" s="2">
        <f t="shared" si="48"/>
        <v>2462954.17</v>
      </c>
    </row>
    <row r="129" spans="1:29" x14ac:dyDescent="0.3">
      <c r="L129" s="132"/>
    </row>
    <row r="130" spans="1:29" ht="18" x14ac:dyDescent="0.35">
      <c r="A130" s="13"/>
      <c r="B130" s="9"/>
      <c r="C130" s="9"/>
      <c r="D130" s="9"/>
      <c r="E130" s="9"/>
      <c r="F130" s="9"/>
      <c r="G130" s="9"/>
      <c r="H130" s="9"/>
      <c r="I130" s="9"/>
      <c r="J130" s="9"/>
      <c r="K130" s="9"/>
      <c r="L130" s="127"/>
      <c r="M130" s="9"/>
      <c r="N130" s="9"/>
      <c r="O130" s="9"/>
      <c r="P130" s="9"/>
      <c r="Q130" s="9"/>
      <c r="R130" s="9"/>
      <c r="S130" s="9"/>
      <c r="T130" s="9"/>
      <c r="U130" s="9"/>
      <c r="V130" s="9"/>
      <c r="W130" s="9"/>
      <c r="X130" s="9"/>
      <c r="Y130" s="9"/>
      <c r="Z130" s="9"/>
      <c r="AA130" s="9"/>
      <c r="AB130" s="3"/>
      <c r="AC130" s="9"/>
    </row>
    <row r="131" spans="1:29" ht="21.75" customHeight="1" x14ac:dyDescent="0.35">
      <c r="A131" s="163" t="s">
        <v>142</v>
      </c>
      <c r="B131" s="21">
        <f>B115+B128</f>
        <v>356307.6</v>
      </c>
      <c r="C131" s="21">
        <f t="shared" ref="C131:AC131" si="49">C115+C128</f>
        <v>357666.57</v>
      </c>
      <c r="D131" s="21">
        <f t="shared" si="49"/>
        <v>195580</v>
      </c>
      <c r="E131" s="21">
        <f t="shared" si="49"/>
        <v>196680</v>
      </c>
      <c r="F131" s="21">
        <f t="shared" si="49"/>
        <v>201780</v>
      </c>
      <c r="G131" s="21">
        <f t="shared" si="49"/>
        <v>199450</v>
      </c>
      <c r="H131" s="21">
        <f t="shared" si="49"/>
        <v>201280</v>
      </c>
      <c r="I131" s="21">
        <f t="shared" si="49"/>
        <v>196680</v>
      </c>
      <c r="J131" s="21">
        <f t="shared" si="49"/>
        <v>195780</v>
      </c>
      <c r="K131" s="21">
        <f t="shared" si="49"/>
        <v>201680</v>
      </c>
      <c r="L131" s="127">
        <f>SUM(B131:K131)</f>
        <v>2302884.17</v>
      </c>
      <c r="M131" s="2">
        <f t="shared" si="49"/>
        <v>239215</v>
      </c>
      <c r="N131" s="2">
        <f t="shared" si="49"/>
        <v>198180</v>
      </c>
      <c r="O131" s="2">
        <f t="shared" si="49"/>
        <v>194230</v>
      </c>
      <c r="P131" s="2">
        <f t="shared" si="49"/>
        <v>194180</v>
      </c>
      <c r="Q131" s="2">
        <f t="shared" si="49"/>
        <v>199230</v>
      </c>
      <c r="R131" s="2">
        <f t="shared" si="49"/>
        <v>186280</v>
      </c>
      <c r="S131" s="2">
        <f t="shared" si="49"/>
        <v>196730</v>
      </c>
      <c r="T131" s="2">
        <f t="shared" si="49"/>
        <v>195680</v>
      </c>
      <c r="U131" s="2">
        <f t="shared" si="49"/>
        <v>193230</v>
      </c>
      <c r="V131" s="2">
        <f t="shared" si="49"/>
        <v>195680</v>
      </c>
      <c r="W131" s="2">
        <f t="shared" si="49"/>
        <v>238615</v>
      </c>
      <c r="X131" s="2">
        <f t="shared" si="49"/>
        <v>188180</v>
      </c>
      <c r="Y131" s="2">
        <f t="shared" si="49"/>
        <v>197230</v>
      </c>
      <c r="Z131" s="2">
        <f t="shared" si="49"/>
        <v>196180</v>
      </c>
      <c r="AA131" s="2">
        <f t="shared" si="49"/>
        <v>197230</v>
      </c>
      <c r="AB131" s="2">
        <f t="shared" si="49"/>
        <v>3010070</v>
      </c>
      <c r="AC131" s="2">
        <f t="shared" si="49"/>
        <v>5312954.17</v>
      </c>
    </row>
    <row r="132" spans="1:29" ht="18" x14ac:dyDescent="0.35">
      <c r="A132" s="20"/>
      <c r="L132" s="132"/>
    </row>
    <row r="133" spans="1:29" ht="18" x14ac:dyDescent="0.35">
      <c r="A133" s="1" t="s">
        <v>44</v>
      </c>
      <c r="B133" s="9"/>
      <c r="C133" s="9"/>
      <c r="D133" s="9"/>
      <c r="E133" s="9"/>
      <c r="F133" s="9"/>
      <c r="G133" s="9"/>
      <c r="H133" s="9"/>
      <c r="I133" s="9"/>
      <c r="J133" s="9"/>
      <c r="K133" s="9"/>
      <c r="L133" s="127"/>
      <c r="M133" s="9"/>
      <c r="N133" s="9"/>
      <c r="O133" s="9"/>
      <c r="P133" s="9"/>
      <c r="Q133" s="9"/>
      <c r="R133" s="9"/>
      <c r="S133" s="9"/>
      <c r="T133" s="9"/>
      <c r="U133" s="9"/>
      <c r="V133" s="9"/>
      <c r="W133" s="9"/>
      <c r="X133" s="9"/>
      <c r="Y133" s="9"/>
      <c r="Z133" s="9"/>
      <c r="AA133" s="9"/>
      <c r="AB133" s="3"/>
      <c r="AC133" s="2"/>
    </row>
    <row r="134" spans="1:29" ht="18" x14ac:dyDescent="0.35">
      <c r="A134" s="10" t="s">
        <v>45</v>
      </c>
      <c r="B134" s="9"/>
      <c r="C134" s="9"/>
      <c r="D134" s="9"/>
      <c r="E134" s="9"/>
      <c r="F134" s="9"/>
      <c r="G134" s="9"/>
      <c r="H134" s="9"/>
      <c r="I134" s="9"/>
      <c r="J134" s="9"/>
      <c r="K134" s="9"/>
      <c r="L134" s="129"/>
      <c r="M134" s="11"/>
      <c r="N134" s="11"/>
      <c r="O134" s="11"/>
      <c r="P134" s="11"/>
      <c r="Q134" s="11"/>
      <c r="R134" s="11"/>
      <c r="S134" s="11"/>
      <c r="T134" s="11"/>
      <c r="U134" s="11"/>
      <c r="V134" s="11"/>
      <c r="W134" s="11"/>
      <c r="X134" s="11"/>
      <c r="Y134" s="11"/>
      <c r="Z134" s="11"/>
      <c r="AA134" s="11"/>
      <c r="AB134" s="3"/>
      <c r="AC134" s="2"/>
    </row>
    <row r="135" spans="1:29" ht="18" x14ac:dyDescent="0.35">
      <c r="A135" s="22" t="s">
        <v>46</v>
      </c>
      <c r="B135" s="9">
        <v>0</v>
      </c>
      <c r="C135" s="9">
        <v>0</v>
      </c>
      <c r="D135" s="9">
        <v>29250</v>
      </c>
      <c r="E135" s="9">
        <v>29250</v>
      </c>
      <c r="F135" s="9">
        <v>29250</v>
      </c>
      <c r="G135" s="9">
        <v>29250</v>
      </c>
      <c r="H135" s="9">
        <v>29250</v>
      </c>
      <c r="I135" s="9">
        <v>29250</v>
      </c>
      <c r="J135" s="9">
        <v>29250</v>
      </c>
      <c r="K135" s="9">
        <v>29250</v>
      </c>
      <c r="L135" s="128">
        <f>SUM(B135:K135)</f>
        <v>234000</v>
      </c>
      <c r="M135" s="9">
        <v>29250</v>
      </c>
      <c r="N135" s="9">
        <v>29250</v>
      </c>
      <c r="O135" s="9">
        <v>29250</v>
      </c>
      <c r="P135" s="9">
        <v>29250</v>
      </c>
      <c r="Q135" s="9">
        <v>29250</v>
      </c>
      <c r="R135" s="9">
        <v>29250</v>
      </c>
      <c r="S135" s="9">
        <v>29250</v>
      </c>
      <c r="T135" s="9">
        <v>29250</v>
      </c>
      <c r="U135" s="9">
        <v>29250</v>
      </c>
      <c r="V135" s="9">
        <v>29250</v>
      </c>
      <c r="W135" s="9">
        <v>29250</v>
      </c>
      <c r="X135" s="9">
        <v>29250</v>
      </c>
      <c r="Y135" s="9">
        <v>29250</v>
      </c>
      <c r="Z135" s="9">
        <v>29250</v>
      </c>
      <c r="AA135" s="9">
        <v>29250</v>
      </c>
      <c r="AB135" s="3">
        <f>SUM(M135:AA135)</f>
        <v>438750</v>
      </c>
      <c r="AC135" s="9">
        <f t="shared" ref="AC135:AC139" si="50">L135+AB135</f>
        <v>672750</v>
      </c>
    </row>
    <row r="136" spans="1:29" ht="18" x14ac:dyDescent="0.35">
      <c r="A136" s="164" t="s">
        <v>143</v>
      </c>
      <c r="B136" s="9">
        <v>0</v>
      </c>
      <c r="C136" s="9">
        <v>0</v>
      </c>
      <c r="D136" s="9">
        <v>3250</v>
      </c>
      <c r="E136" s="9">
        <v>3250</v>
      </c>
      <c r="F136" s="9">
        <v>3250</v>
      </c>
      <c r="G136" s="9">
        <v>35750</v>
      </c>
      <c r="H136" s="9">
        <v>35750</v>
      </c>
      <c r="I136" s="9">
        <v>35750</v>
      </c>
      <c r="J136" s="9">
        <v>35750</v>
      </c>
      <c r="K136" s="9">
        <v>35750</v>
      </c>
      <c r="L136" s="128">
        <f>SUM(B136:K136)</f>
        <v>188500</v>
      </c>
      <c r="M136" s="9">
        <v>35750</v>
      </c>
      <c r="N136" s="9">
        <v>35750</v>
      </c>
      <c r="O136" s="9">
        <v>35750</v>
      </c>
      <c r="P136" s="9">
        <v>35750</v>
      </c>
      <c r="Q136" s="9">
        <v>35750</v>
      </c>
      <c r="R136" s="9">
        <v>35750</v>
      </c>
      <c r="S136" s="9">
        <v>35750</v>
      </c>
      <c r="T136" s="9">
        <v>35750</v>
      </c>
      <c r="U136" s="9">
        <v>35750</v>
      </c>
      <c r="V136" s="9">
        <v>35750</v>
      </c>
      <c r="W136" s="9">
        <v>35750</v>
      </c>
      <c r="X136" s="9">
        <v>35750</v>
      </c>
      <c r="Y136" s="9">
        <v>35750</v>
      </c>
      <c r="Z136" s="9">
        <v>35750</v>
      </c>
      <c r="AA136" s="9">
        <v>35750</v>
      </c>
      <c r="AB136" s="3">
        <f>SUM(M136:AA136)</f>
        <v>536250</v>
      </c>
      <c r="AC136" s="9">
        <f t="shared" si="50"/>
        <v>724750</v>
      </c>
    </row>
    <row r="137" spans="1:29" ht="18" x14ac:dyDescent="0.35">
      <c r="A137" s="15" t="s">
        <v>123</v>
      </c>
      <c r="B137" s="38">
        <f>SUM(B135:B136)</f>
        <v>0</v>
      </c>
      <c r="C137" s="38">
        <f t="shared" ref="C137:K137" si="51">SUM(C135:C136)</f>
        <v>0</v>
      </c>
      <c r="D137" s="38">
        <f t="shared" si="51"/>
        <v>32500</v>
      </c>
      <c r="E137" s="38">
        <f t="shared" si="51"/>
        <v>32500</v>
      </c>
      <c r="F137" s="38">
        <f t="shared" si="51"/>
        <v>32500</v>
      </c>
      <c r="G137" s="38">
        <f t="shared" si="51"/>
        <v>65000</v>
      </c>
      <c r="H137" s="38">
        <f t="shared" si="51"/>
        <v>65000</v>
      </c>
      <c r="I137" s="38">
        <f t="shared" si="51"/>
        <v>65000</v>
      </c>
      <c r="J137" s="38">
        <f t="shared" si="51"/>
        <v>65000</v>
      </c>
      <c r="K137" s="38">
        <f t="shared" si="51"/>
        <v>65000</v>
      </c>
      <c r="L137" s="136">
        <f>SUM(B137:K137)</f>
        <v>422500</v>
      </c>
      <c r="M137" s="2">
        <f>SUM(M135:M136)</f>
        <v>65000</v>
      </c>
      <c r="N137" s="2">
        <f t="shared" ref="N137:AA137" si="52">SUM(N135:N136)</f>
        <v>65000</v>
      </c>
      <c r="O137" s="2">
        <f t="shared" si="52"/>
        <v>65000</v>
      </c>
      <c r="P137" s="2">
        <f t="shared" si="52"/>
        <v>65000</v>
      </c>
      <c r="Q137" s="2">
        <f t="shared" si="52"/>
        <v>65000</v>
      </c>
      <c r="R137" s="2">
        <f t="shared" si="52"/>
        <v>65000</v>
      </c>
      <c r="S137" s="2">
        <f t="shared" si="52"/>
        <v>65000</v>
      </c>
      <c r="T137" s="2">
        <f t="shared" si="52"/>
        <v>65000</v>
      </c>
      <c r="U137" s="2">
        <f t="shared" si="52"/>
        <v>65000</v>
      </c>
      <c r="V137" s="2">
        <f t="shared" si="52"/>
        <v>65000</v>
      </c>
      <c r="W137" s="2">
        <f t="shared" si="52"/>
        <v>65000</v>
      </c>
      <c r="X137" s="2">
        <f t="shared" si="52"/>
        <v>65000</v>
      </c>
      <c r="Y137" s="2">
        <f t="shared" si="52"/>
        <v>65000</v>
      </c>
      <c r="Z137" s="2">
        <f t="shared" si="52"/>
        <v>65000</v>
      </c>
      <c r="AA137" s="2">
        <f t="shared" si="52"/>
        <v>65000</v>
      </c>
      <c r="AB137" s="3">
        <f>SUM(M137:AA137)</f>
        <v>975000</v>
      </c>
      <c r="AC137" s="2">
        <f t="shared" si="50"/>
        <v>1397500</v>
      </c>
    </row>
    <row r="138" spans="1:29" ht="18" x14ac:dyDescent="0.35">
      <c r="A138" s="15"/>
      <c r="B138" s="38"/>
      <c r="C138" s="38"/>
      <c r="D138" s="38"/>
      <c r="E138" s="38"/>
      <c r="F138" s="38"/>
      <c r="G138" s="38"/>
      <c r="H138" s="38"/>
      <c r="I138" s="38"/>
      <c r="J138" s="38"/>
      <c r="K138" s="38"/>
      <c r="L138" s="136"/>
      <c r="M138" s="9"/>
      <c r="N138" s="9"/>
      <c r="O138" s="9"/>
      <c r="P138" s="9"/>
      <c r="Q138" s="9"/>
      <c r="R138" s="9"/>
      <c r="S138" s="9"/>
      <c r="T138" s="9"/>
      <c r="U138" s="9"/>
      <c r="V138" s="9"/>
      <c r="W138" s="9"/>
      <c r="X138" s="9"/>
      <c r="Y138" s="9"/>
      <c r="Z138" s="9"/>
      <c r="AA138" s="9"/>
      <c r="AB138" s="3"/>
      <c r="AC138" s="9"/>
    </row>
    <row r="139" spans="1:29" ht="18" x14ac:dyDescent="0.35">
      <c r="A139" s="23" t="s">
        <v>47</v>
      </c>
      <c r="B139" s="9">
        <v>48000</v>
      </c>
      <c r="C139" s="9">
        <v>48000</v>
      </c>
      <c r="D139" s="9">
        <v>48000</v>
      </c>
      <c r="E139" s="9">
        <v>48000</v>
      </c>
      <c r="F139" s="9">
        <v>48000</v>
      </c>
      <c r="G139" s="9">
        <v>48000</v>
      </c>
      <c r="H139" s="9">
        <v>48000</v>
      </c>
      <c r="I139" s="9">
        <v>48000</v>
      </c>
      <c r="J139" s="9">
        <v>48000</v>
      </c>
      <c r="K139" s="9">
        <v>48000</v>
      </c>
      <c r="L139" s="127">
        <f>SUM(B139:K139)</f>
        <v>480000</v>
      </c>
      <c r="M139" s="9">
        <v>48000</v>
      </c>
      <c r="N139" s="9">
        <v>48000</v>
      </c>
      <c r="O139" s="9">
        <v>48000</v>
      </c>
      <c r="P139" s="9">
        <v>48000</v>
      </c>
      <c r="Q139" s="9">
        <v>48000</v>
      </c>
      <c r="R139" s="9">
        <v>48000</v>
      </c>
      <c r="S139" s="9">
        <v>48000</v>
      </c>
      <c r="T139" s="9">
        <v>48000</v>
      </c>
      <c r="U139" s="9">
        <v>48000</v>
      </c>
      <c r="V139" s="9">
        <v>48000</v>
      </c>
      <c r="W139" s="9">
        <v>48000</v>
      </c>
      <c r="X139" s="9">
        <v>48000</v>
      </c>
      <c r="Y139" s="9">
        <v>48000</v>
      </c>
      <c r="Z139" s="9">
        <v>48000</v>
      </c>
      <c r="AA139" s="9">
        <v>48000</v>
      </c>
      <c r="AB139" s="3">
        <f>SUM(M139:AA139)</f>
        <v>720000</v>
      </c>
      <c r="AC139" s="9">
        <f t="shared" si="50"/>
        <v>1200000</v>
      </c>
    </row>
    <row r="140" spans="1:29" x14ac:dyDescent="0.3">
      <c r="L140" s="132"/>
    </row>
    <row r="141" spans="1:29" ht="18" x14ac:dyDescent="0.35">
      <c r="A141" s="13" t="s">
        <v>48</v>
      </c>
      <c r="B141" s="9">
        <v>9625</v>
      </c>
      <c r="C141" s="9">
        <v>57287.5</v>
      </c>
      <c r="D141" s="9">
        <v>14400</v>
      </c>
      <c r="E141" s="9">
        <v>42000</v>
      </c>
      <c r="F141" s="9">
        <v>12400</v>
      </c>
      <c r="G141" s="9">
        <v>800</v>
      </c>
      <c r="H141" s="9">
        <v>200</v>
      </c>
      <c r="I141" s="9">
        <v>200</v>
      </c>
      <c r="J141" s="9">
        <v>0</v>
      </c>
      <c r="K141" s="9">
        <v>0</v>
      </c>
      <c r="L141" s="127">
        <f>SUM(B141:K141)</f>
        <v>136912.5</v>
      </c>
      <c r="M141" s="9">
        <v>0</v>
      </c>
      <c r="N141" s="9">
        <v>0</v>
      </c>
      <c r="O141" s="9">
        <v>0</v>
      </c>
      <c r="P141" s="9">
        <v>0</v>
      </c>
      <c r="Q141" s="9">
        <v>0</v>
      </c>
      <c r="R141" s="9">
        <v>0</v>
      </c>
      <c r="S141" s="9">
        <v>0</v>
      </c>
      <c r="T141" s="9">
        <v>0</v>
      </c>
      <c r="U141" s="9">
        <v>0</v>
      </c>
      <c r="V141" s="9">
        <v>0</v>
      </c>
      <c r="W141" s="9">
        <v>0</v>
      </c>
      <c r="X141" s="9">
        <v>0</v>
      </c>
      <c r="Y141" s="9">
        <v>0</v>
      </c>
      <c r="Z141" s="9">
        <v>0</v>
      </c>
      <c r="AA141" s="9">
        <v>0</v>
      </c>
      <c r="AB141" s="3">
        <f>SUM(M141:AA141)</f>
        <v>0</v>
      </c>
      <c r="AC141" s="9">
        <f t="shared" ref="AC141:AC143" si="53">L141+AB141</f>
        <v>136912.5</v>
      </c>
    </row>
    <row r="142" spans="1:29" ht="18" x14ac:dyDescent="0.35">
      <c r="A142" s="13"/>
      <c r="B142" s="9"/>
      <c r="C142" s="9"/>
      <c r="D142" s="9"/>
      <c r="E142" s="9"/>
      <c r="F142" s="9"/>
      <c r="G142" s="9"/>
      <c r="H142" s="9"/>
      <c r="I142" s="9"/>
      <c r="J142" s="9"/>
      <c r="K142" s="9"/>
      <c r="L142" s="129"/>
      <c r="M142" s="11"/>
      <c r="N142" s="11"/>
      <c r="O142" s="11"/>
      <c r="P142" s="11"/>
      <c r="Q142" s="11"/>
      <c r="R142" s="11"/>
      <c r="S142" s="11"/>
      <c r="T142" s="11"/>
      <c r="U142" s="11"/>
      <c r="V142" s="11"/>
      <c r="W142" s="11"/>
      <c r="X142" s="11"/>
      <c r="Y142" s="11"/>
      <c r="Z142" s="11"/>
      <c r="AA142" s="11"/>
      <c r="AB142" s="3"/>
      <c r="AC142" s="9"/>
    </row>
    <row r="143" spans="1:29" ht="18" x14ac:dyDescent="0.35">
      <c r="A143" s="13" t="s">
        <v>40</v>
      </c>
      <c r="B143" s="9">
        <v>0</v>
      </c>
      <c r="C143" s="9">
        <v>0</v>
      </c>
      <c r="D143" s="9">
        <v>8000</v>
      </c>
      <c r="E143" s="9">
        <v>10500</v>
      </c>
      <c r="F143" s="9">
        <v>5500</v>
      </c>
      <c r="G143" s="9">
        <v>5500</v>
      </c>
      <c r="H143" s="9">
        <v>5500</v>
      </c>
      <c r="I143" s="9">
        <v>5500</v>
      </c>
      <c r="J143" s="9">
        <v>5500</v>
      </c>
      <c r="K143" s="9">
        <v>5500</v>
      </c>
      <c r="L143" s="127">
        <f>SUM(B143:K143)</f>
        <v>51500</v>
      </c>
      <c r="M143" s="9">
        <v>5500</v>
      </c>
      <c r="N143" s="9">
        <v>5500</v>
      </c>
      <c r="O143" s="9">
        <v>5500</v>
      </c>
      <c r="P143" s="9">
        <v>5500</v>
      </c>
      <c r="Q143" s="9">
        <v>5500</v>
      </c>
      <c r="R143" s="9">
        <v>5500</v>
      </c>
      <c r="S143" s="9">
        <v>5500</v>
      </c>
      <c r="T143" s="9">
        <v>5500</v>
      </c>
      <c r="U143" s="9">
        <v>5500</v>
      </c>
      <c r="V143" s="9">
        <v>5500</v>
      </c>
      <c r="W143" s="9">
        <v>5500</v>
      </c>
      <c r="X143" s="9">
        <v>5500</v>
      </c>
      <c r="Y143" s="9">
        <v>5500</v>
      </c>
      <c r="Z143" s="9">
        <v>5500</v>
      </c>
      <c r="AA143" s="9">
        <v>5500</v>
      </c>
      <c r="AB143" s="3">
        <f>SUM(M143:AA143)</f>
        <v>82500</v>
      </c>
      <c r="AC143" s="9">
        <f t="shared" si="53"/>
        <v>134000</v>
      </c>
    </row>
    <row r="144" spans="1:29" ht="36" x14ac:dyDescent="0.35">
      <c r="A144" s="17" t="s">
        <v>159</v>
      </c>
      <c r="B144" s="9">
        <v>0</v>
      </c>
      <c r="C144" s="9">
        <v>0</v>
      </c>
      <c r="D144" s="9">
        <v>5000</v>
      </c>
      <c r="E144" s="9">
        <v>0</v>
      </c>
      <c r="F144" s="9">
        <v>350000</v>
      </c>
      <c r="G144" s="9">
        <v>0</v>
      </c>
      <c r="H144" s="9">
        <v>0</v>
      </c>
      <c r="I144" s="9">
        <v>0</v>
      </c>
      <c r="J144" s="9">
        <v>0</v>
      </c>
      <c r="K144" s="9">
        <v>0</v>
      </c>
      <c r="L144" s="127">
        <f>SUM(B144:K144)</f>
        <v>355000</v>
      </c>
      <c r="M144" s="25">
        <v>0</v>
      </c>
      <c r="N144" s="25">
        <v>0</v>
      </c>
      <c r="O144" s="25">
        <v>0</v>
      </c>
      <c r="P144" s="25">
        <v>0</v>
      </c>
      <c r="Q144" s="25">
        <v>0</v>
      </c>
      <c r="R144" s="25">
        <v>0</v>
      </c>
      <c r="S144" s="25">
        <v>0</v>
      </c>
      <c r="T144" s="25">
        <v>0</v>
      </c>
      <c r="U144" s="25">
        <v>0</v>
      </c>
      <c r="V144" s="25">
        <v>0</v>
      </c>
      <c r="W144" s="25">
        <v>0</v>
      </c>
      <c r="X144" s="25">
        <v>0</v>
      </c>
      <c r="Y144" s="25">
        <v>0</v>
      </c>
      <c r="Z144" s="25">
        <v>0</v>
      </c>
      <c r="AA144" s="25">
        <v>0</v>
      </c>
      <c r="AB144" s="3">
        <f>SUM(M144:AA144)</f>
        <v>0</v>
      </c>
      <c r="AC144" s="9">
        <f>L144+AB144</f>
        <v>355000</v>
      </c>
    </row>
    <row r="145" spans="1:29" x14ac:dyDescent="0.3">
      <c r="L145" s="132"/>
    </row>
    <row r="146" spans="1:29" ht="36" x14ac:dyDescent="0.35">
      <c r="A146" s="26" t="s">
        <v>49</v>
      </c>
      <c r="B146" s="27">
        <v>0</v>
      </c>
      <c r="C146" s="27">
        <v>21702</v>
      </c>
      <c r="D146" s="27">
        <v>2620.8000000000002</v>
      </c>
      <c r="E146" s="27">
        <v>1660</v>
      </c>
      <c r="F146" s="27">
        <v>6660</v>
      </c>
      <c r="G146" s="27">
        <v>14830.8</v>
      </c>
      <c r="H146" s="27">
        <v>13170</v>
      </c>
      <c r="I146" s="27">
        <v>13170</v>
      </c>
      <c r="J146" s="27">
        <v>13170</v>
      </c>
      <c r="K146" s="27">
        <v>13170</v>
      </c>
      <c r="L146" s="128">
        <f>SUM(B146:K146)</f>
        <v>100153.60000000001</v>
      </c>
      <c r="M146" s="28">
        <v>12050</v>
      </c>
      <c r="N146" s="28">
        <v>12050</v>
      </c>
      <c r="O146" s="28">
        <v>13570</v>
      </c>
      <c r="P146" s="28">
        <v>12770</v>
      </c>
      <c r="Q146" s="28">
        <v>12770</v>
      </c>
      <c r="R146" s="28">
        <v>14990</v>
      </c>
      <c r="S146" s="28">
        <v>13490</v>
      </c>
      <c r="T146" s="28">
        <v>13490</v>
      </c>
      <c r="U146" s="28">
        <v>13490</v>
      </c>
      <c r="V146" s="28">
        <v>13490</v>
      </c>
      <c r="W146" s="28">
        <v>13490</v>
      </c>
      <c r="X146" s="28">
        <v>12050</v>
      </c>
      <c r="Y146" s="28">
        <v>12050</v>
      </c>
      <c r="Z146" s="28">
        <v>12050</v>
      </c>
      <c r="AA146" s="28">
        <v>13490</v>
      </c>
      <c r="AB146" s="29">
        <f>SUM(M146:AA146)</f>
        <v>195290</v>
      </c>
      <c r="AC146" s="30">
        <f>L146+AB146</f>
        <v>295443.59999999998</v>
      </c>
    </row>
    <row r="147" spans="1:29" ht="18" x14ac:dyDescent="0.35">
      <c r="A147" s="106" t="s">
        <v>141</v>
      </c>
      <c r="B147" s="107">
        <f>SUM(B139:B146)</f>
        <v>57625</v>
      </c>
      <c r="C147" s="107">
        <f t="shared" ref="C147:K147" si="54">SUM(C139:C146)</f>
        <v>126989.5</v>
      </c>
      <c r="D147" s="107">
        <f t="shared" si="54"/>
        <v>78020.800000000003</v>
      </c>
      <c r="E147" s="107">
        <f t="shared" si="54"/>
        <v>102160</v>
      </c>
      <c r="F147" s="107">
        <f t="shared" si="54"/>
        <v>422560</v>
      </c>
      <c r="G147" s="107">
        <f t="shared" si="54"/>
        <v>69130.8</v>
      </c>
      <c r="H147" s="107">
        <f t="shared" si="54"/>
        <v>66870</v>
      </c>
      <c r="I147" s="107">
        <f t="shared" si="54"/>
        <v>66870</v>
      </c>
      <c r="J147" s="107">
        <f t="shared" si="54"/>
        <v>66670</v>
      </c>
      <c r="K147" s="107">
        <f t="shared" si="54"/>
        <v>66670</v>
      </c>
      <c r="L147" s="136">
        <f>SUM(B147:K147)</f>
        <v>1123566.1000000001</v>
      </c>
      <c r="M147" s="28"/>
      <c r="N147" s="28"/>
      <c r="O147" s="28"/>
      <c r="P147" s="28"/>
      <c r="Q147" s="28"/>
      <c r="R147" s="28"/>
      <c r="S147" s="28"/>
      <c r="T147" s="28"/>
      <c r="U147" s="28"/>
      <c r="V147" s="28"/>
      <c r="W147" s="28"/>
      <c r="X147" s="28"/>
      <c r="Y147" s="28"/>
      <c r="Z147" s="28"/>
      <c r="AA147" s="28"/>
      <c r="AB147" s="29"/>
      <c r="AC147" s="30"/>
    </row>
    <row r="148" spans="1:29" ht="18" x14ac:dyDescent="0.35">
      <c r="A148" s="163" t="s">
        <v>144</v>
      </c>
      <c r="B148" s="21">
        <f>B137+B147</f>
        <v>57625</v>
      </c>
      <c r="C148" s="21">
        <f>C137+C147</f>
        <v>126989.5</v>
      </c>
      <c r="D148" s="21">
        <f>D137+D147</f>
        <v>110520.8</v>
      </c>
      <c r="E148" s="21">
        <f t="shared" ref="E148:K148" si="55">E137+E147</f>
        <v>134660</v>
      </c>
      <c r="F148" s="21">
        <f t="shared" si="55"/>
        <v>455060</v>
      </c>
      <c r="G148" s="21">
        <f t="shared" si="55"/>
        <v>134130.79999999999</v>
      </c>
      <c r="H148" s="21">
        <f t="shared" si="55"/>
        <v>131870</v>
      </c>
      <c r="I148" s="21">
        <f t="shared" si="55"/>
        <v>131870</v>
      </c>
      <c r="J148" s="21">
        <f t="shared" si="55"/>
        <v>131670</v>
      </c>
      <c r="K148" s="21">
        <f t="shared" si="55"/>
        <v>131670</v>
      </c>
      <c r="L148" s="127">
        <f>SUM(B148:K148)</f>
        <v>1546066.1</v>
      </c>
      <c r="M148" s="2">
        <f t="shared" ref="M148:AC148" si="56">SUM(M135:M146)</f>
        <v>195550</v>
      </c>
      <c r="N148" s="2">
        <f t="shared" si="56"/>
        <v>195550</v>
      </c>
      <c r="O148" s="2">
        <f t="shared" si="56"/>
        <v>197070</v>
      </c>
      <c r="P148" s="2">
        <f t="shared" si="56"/>
        <v>196270</v>
      </c>
      <c r="Q148" s="2">
        <f t="shared" si="56"/>
        <v>196270</v>
      </c>
      <c r="R148" s="2">
        <f t="shared" si="56"/>
        <v>198490</v>
      </c>
      <c r="S148" s="2">
        <f t="shared" si="56"/>
        <v>196990</v>
      </c>
      <c r="T148" s="2">
        <f t="shared" si="56"/>
        <v>196990</v>
      </c>
      <c r="U148" s="2">
        <f t="shared" si="56"/>
        <v>196990</v>
      </c>
      <c r="V148" s="2">
        <f t="shared" si="56"/>
        <v>196990</v>
      </c>
      <c r="W148" s="2">
        <f t="shared" si="56"/>
        <v>196990</v>
      </c>
      <c r="X148" s="2">
        <f t="shared" si="56"/>
        <v>195550</v>
      </c>
      <c r="Y148" s="2">
        <f t="shared" si="56"/>
        <v>195550</v>
      </c>
      <c r="Z148" s="2">
        <f t="shared" si="56"/>
        <v>195550</v>
      </c>
      <c r="AA148" s="2">
        <f t="shared" si="56"/>
        <v>196990</v>
      </c>
      <c r="AB148" s="2">
        <f t="shared" si="56"/>
        <v>2947790</v>
      </c>
      <c r="AC148" s="2">
        <f t="shared" si="56"/>
        <v>4916356.0999999996</v>
      </c>
    </row>
    <row r="149" spans="1:29" x14ac:dyDescent="0.3">
      <c r="L149" s="132"/>
    </row>
    <row r="150" spans="1:29" ht="18" x14ac:dyDescent="0.35">
      <c r="A150" s="1" t="s">
        <v>50</v>
      </c>
      <c r="B150" s="9"/>
      <c r="C150" s="9"/>
      <c r="D150" s="9"/>
      <c r="E150" s="9"/>
      <c r="F150" s="9"/>
      <c r="G150" s="9"/>
      <c r="H150" s="9"/>
      <c r="I150" s="9"/>
      <c r="J150" s="9"/>
      <c r="K150" s="9"/>
      <c r="L150" s="127"/>
      <c r="M150" s="11"/>
      <c r="N150" s="11"/>
      <c r="O150" s="11"/>
      <c r="P150" s="11"/>
      <c r="Q150" s="11"/>
      <c r="R150" s="11"/>
      <c r="S150" s="11"/>
      <c r="T150" s="11"/>
      <c r="U150" s="11"/>
      <c r="V150" s="11"/>
      <c r="W150" s="11"/>
      <c r="X150" s="11"/>
      <c r="Y150" s="11"/>
      <c r="Z150" s="11"/>
      <c r="AA150" s="11"/>
      <c r="AB150" s="3"/>
      <c r="AC150" s="2"/>
    </row>
    <row r="151" spans="1:29" ht="18" x14ac:dyDescent="0.35">
      <c r="A151" s="18" t="s">
        <v>30</v>
      </c>
      <c r="B151" s="9"/>
      <c r="C151" s="9"/>
      <c r="D151" s="9"/>
      <c r="E151" s="9"/>
      <c r="F151" s="9"/>
      <c r="G151" s="9"/>
      <c r="H151" s="9"/>
      <c r="I151" s="9"/>
      <c r="J151" s="9"/>
      <c r="K151" s="9"/>
      <c r="L151" s="129"/>
      <c r="M151" s="11"/>
      <c r="N151" s="11"/>
      <c r="O151" s="11"/>
      <c r="P151" s="11"/>
      <c r="Q151" s="11"/>
      <c r="R151" s="11"/>
      <c r="S151" s="11"/>
      <c r="T151" s="11"/>
      <c r="U151" s="11"/>
      <c r="V151" s="11"/>
      <c r="W151" s="11"/>
      <c r="X151" s="11"/>
      <c r="Y151" s="11"/>
      <c r="Z151" s="11"/>
      <c r="AA151" s="11"/>
      <c r="AB151" s="3"/>
      <c r="AC151" s="2"/>
    </row>
    <row r="152" spans="1:29" ht="18" x14ac:dyDescent="0.35">
      <c r="A152" s="18" t="s">
        <v>47</v>
      </c>
      <c r="B152" s="9">
        <v>60000</v>
      </c>
      <c r="C152" s="9">
        <v>60000</v>
      </c>
      <c r="D152" s="9">
        <v>60000</v>
      </c>
      <c r="E152" s="9">
        <v>60000</v>
      </c>
      <c r="F152" s="9">
        <v>60000</v>
      </c>
      <c r="G152" s="9">
        <v>60000</v>
      </c>
      <c r="H152" s="9">
        <v>60000</v>
      </c>
      <c r="I152" s="9">
        <v>60000</v>
      </c>
      <c r="J152" s="9">
        <v>60000</v>
      </c>
      <c r="K152" s="9">
        <v>60000</v>
      </c>
      <c r="L152" s="128">
        <f>SUM(B152:K152)</f>
        <v>600000</v>
      </c>
      <c r="M152" s="32">
        <v>60000</v>
      </c>
      <c r="N152" s="32">
        <v>60000</v>
      </c>
      <c r="O152" s="32">
        <v>60000</v>
      </c>
      <c r="P152" s="32">
        <v>60000</v>
      </c>
      <c r="Q152" s="32">
        <v>60000</v>
      </c>
      <c r="R152" s="32">
        <v>60000</v>
      </c>
      <c r="S152" s="32">
        <v>60000</v>
      </c>
      <c r="T152" s="32">
        <v>60000</v>
      </c>
      <c r="U152" s="32">
        <v>60000</v>
      </c>
      <c r="V152" s="32">
        <v>60000</v>
      </c>
      <c r="W152" s="32">
        <v>60000</v>
      </c>
      <c r="X152" s="32">
        <v>60000</v>
      </c>
      <c r="Y152" s="32">
        <v>60000</v>
      </c>
      <c r="Z152" s="32">
        <v>60000</v>
      </c>
      <c r="AA152" s="32">
        <v>60000</v>
      </c>
      <c r="AB152" s="3">
        <f>SUM(M152:AA152)</f>
        <v>900000</v>
      </c>
      <c r="AC152" s="9">
        <f t="shared" ref="AC152:AC156" si="57">L152+AB152</f>
        <v>1500000</v>
      </c>
    </row>
    <row r="153" spans="1:29" ht="18" x14ac:dyDescent="0.35">
      <c r="A153" s="13" t="s">
        <v>48</v>
      </c>
      <c r="B153" s="9"/>
      <c r="C153" s="9"/>
      <c r="D153" s="9"/>
      <c r="E153" s="9"/>
      <c r="F153" s="9"/>
      <c r="G153" s="9"/>
      <c r="H153" s="9"/>
      <c r="I153" s="9"/>
      <c r="J153" s="9"/>
      <c r="K153" s="9"/>
      <c r="L153" s="129"/>
      <c r="M153" s="11"/>
      <c r="N153" s="11"/>
      <c r="O153" s="11"/>
      <c r="P153" s="11"/>
      <c r="Q153" s="11"/>
      <c r="R153" s="11"/>
      <c r="S153" s="11"/>
      <c r="T153" s="11"/>
      <c r="U153" s="11"/>
      <c r="V153" s="11"/>
      <c r="W153" s="11"/>
      <c r="X153" s="11"/>
      <c r="Y153" s="11"/>
      <c r="Z153" s="11"/>
      <c r="AA153" s="11"/>
      <c r="AB153" s="3">
        <f>SUM(M153:AA153)</f>
        <v>0</v>
      </c>
      <c r="AC153" s="9">
        <f t="shared" si="57"/>
        <v>0</v>
      </c>
    </row>
    <row r="154" spans="1:29" ht="18" x14ac:dyDescent="0.35">
      <c r="A154" s="18" t="s">
        <v>40</v>
      </c>
      <c r="B154" s="9"/>
      <c r="C154" s="9"/>
      <c r="D154" s="9"/>
      <c r="E154" s="9"/>
      <c r="F154" s="9"/>
      <c r="G154" s="9"/>
      <c r="H154" s="9"/>
      <c r="I154" s="9"/>
      <c r="J154" s="9"/>
      <c r="K154" s="9"/>
      <c r="L154" s="129"/>
      <c r="M154" s="11"/>
      <c r="N154" s="11"/>
      <c r="O154" s="11"/>
      <c r="P154" s="11"/>
      <c r="Q154" s="11"/>
      <c r="R154" s="11"/>
      <c r="S154" s="11"/>
      <c r="T154" s="11"/>
      <c r="U154" s="11"/>
      <c r="V154" s="11"/>
      <c r="W154" s="11"/>
      <c r="X154" s="11"/>
      <c r="Y154" s="11"/>
      <c r="Z154" s="11"/>
      <c r="AA154" s="11"/>
      <c r="AB154" s="3">
        <f>SUM(M154:AA154)</f>
        <v>0</v>
      </c>
      <c r="AC154" s="9">
        <f t="shared" si="57"/>
        <v>0</v>
      </c>
    </row>
    <row r="155" spans="1:29" ht="18" x14ac:dyDescent="0.35">
      <c r="A155" s="18" t="s">
        <v>51</v>
      </c>
      <c r="B155" s="9"/>
      <c r="C155" s="9"/>
      <c r="D155" s="9"/>
      <c r="E155" s="9"/>
      <c r="F155" s="9"/>
      <c r="G155" s="9"/>
      <c r="H155" s="9"/>
      <c r="I155" s="9"/>
      <c r="J155" s="9"/>
      <c r="K155" s="9"/>
      <c r="L155" s="129"/>
      <c r="M155" s="11"/>
      <c r="N155" s="11"/>
      <c r="O155" s="11"/>
      <c r="P155" s="11"/>
      <c r="Q155" s="11"/>
      <c r="R155" s="11"/>
      <c r="S155" s="11"/>
      <c r="T155" s="11"/>
      <c r="U155" s="11"/>
      <c r="V155" s="11"/>
      <c r="W155" s="11"/>
      <c r="X155" s="11"/>
      <c r="Y155" s="11"/>
      <c r="Z155" s="11"/>
      <c r="AA155" s="11"/>
      <c r="AB155" s="3">
        <f>SUM(M155:AA155)</f>
        <v>0</v>
      </c>
      <c r="AC155" s="9">
        <f t="shared" si="57"/>
        <v>0</v>
      </c>
    </row>
    <row r="156" spans="1:29" ht="18" customHeight="1" x14ac:dyDescent="0.35">
      <c r="A156" s="163" t="s">
        <v>145</v>
      </c>
      <c r="B156" s="21">
        <f>SUM(B151:B155)</f>
        <v>60000</v>
      </c>
      <c r="C156" s="21">
        <f t="shared" ref="C156:K156" si="58">SUM(C151:C155)</f>
        <v>60000</v>
      </c>
      <c r="D156" s="21">
        <f t="shared" si="58"/>
        <v>60000</v>
      </c>
      <c r="E156" s="21">
        <f t="shared" si="58"/>
        <v>60000</v>
      </c>
      <c r="F156" s="21">
        <f t="shared" si="58"/>
        <v>60000</v>
      </c>
      <c r="G156" s="21">
        <f t="shared" si="58"/>
        <v>60000</v>
      </c>
      <c r="H156" s="21">
        <f t="shared" si="58"/>
        <v>60000</v>
      </c>
      <c r="I156" s="21">
        <f t="shared" si="58"/>
        <v>60000</v>
      </c>
      <c r="J156" s="21">
        <f t="shared" si="58"/>
        <v>60000</v>
      </c>
      <c r="K156" s="21">
        <f t="shared" si="58"/>
        <v>60000</v>
      </c>
      <c r="L156" s="127">
        <f>SUM(B156:K156)</f>
        <v>600000</v>
      </c>
      <c r="M156" s="21">
        <f>SUM(M151:M155)</f>
        <v>60000</v>
      </c>
      <c r="N156" s="21">
        <f t="shared" ref="N156:AA156" si="59">SUM(N151:N155)</f>
        <v>60000</v>
      </c>
      <c r="O156" s="21">
        <f t="shared" si="59"/>
        <v>60000</v>
      </c>
      <c r="P156" s="21">
        <f t="shared" si="59"/>
        <v>60000</v>
      </c>
      <c r="Q156" s="21">
        <f t="shared" si="59"/>
        <v>60000</v>
      </c>
      <c r="R156" s="21">
        <f t="shared" si="59"/>
        <v>60000</v>
      </c>
      <c r="S156" s="21">
        <f t="shared" si="59"/>
        <v>60000</v>
      </c>
      <c r="T156" s="21">
        <f t="shared" si="59"/>
        <v>60000</v>
      </c>
      <c r="U156" s="21">
        <f t="shared" si="59"/>
        <v>60000</v>
      </c>
      <c r="V156" s="21">
        <f t="shared" si="59"/>
        <v>60000</v>
      </c>
      <c r="W156" s="21">
        <f t="shared" si="59"/>
        <v>60000</v>
      </c>
      <c r="X156" s="21">
        <f t="shared" si="59"/>
        <v>60000</v>
      </c>
      <c r="Y156" s="21">
        <f t="shared" si="59"/>
        <v>60000</v>
      </c>
      <c r="Z156" s="21">
        <f t="shared" si="59"/>
        <v>60000</v>
      </c>
      <c r="AA156" s="21">
        <f t="shared" si="59"/>
        <v>60000</v>
      </c>
      <c r="AB156" s="21">
        <f>SUM(M156:AA156)</f>
        <v>900000</v>
      </c>
      <c r="AC156" s="2">
        <f t="shared" si="57"/>
        <v>1500000</v>
      </c>
    </row>
    <row r="157" spans="1:29" ht="18" x14ac:dyDescent="0.35">
      <c r="A157" s="20"/>
      <c r="B157" s="21"/>
      <c r="C157" s="21"/>
      <c r="D157" s="21"/>
      <c r="E157" s="21"/>
      <c r="F157" s="21"/>
      <c r="G157" s="21"/>
      <c r="H157" s="21"/>
      <c r="I157" s="21"/>
      <c r="J157" s="21"/>
      <c r="K157" s="21"/>
      <c r="L157" s="127"/>
      <c r="M157" s="21"/>
      <c r="N157" s="21"/>
      <c r="O157" s="21"/>
      <c r="P157" s="21"/>
      <c r="Q157" s="21"/>
      <c r="R157" s="21"/>
      <c r="S157" s="21"/>
      <c r="T157" s="21"/>
      <c r="U157" s="21"/>
      <c r="V157" s="21"/>
      <c r="W157" s="21"/>
      <c r="X157" s="21"/>
      <c r="Y157" s="21"/>
      <c r="Z157" s="21"/>
      <c r="AA157" s="21"/>
      <c r="AB157" s="21"/>
      <c r="AC157" s="2"/>
    </row>
    <row r="158" spans="1:29" ht="15" thickBot="1" x14ac:dyDescent="0.35">
      <c r="L158" s="132"/>
    </row>
    <row r="159" spans="1:29" ht="36.6" thickBot="1" x14ac:dyDescent="0.4">
      <c r="A159" s="92" t="s">
        <v>136</v>
      </c>
      <c r="B159" s="93">
        <f t="shared" ref="B159:AC159" si="60">B131+B148+B156</f>
        <v>473932.6</v>
      </c>
      <c r="C159" s="93">
        <f t="shared" si="60"/>
        <v>544656.07000000007</v>
      </c>
      <c r="D159" s="93">
        <f t="shared" si="60"/>
        <v>366100.8</v>
      </c>
      <c r="E159" s="93">
        <f t="shared" si="60"/>
        <v>391340</v>
      </c>
      <c r="F159" s="93">
        <f t="shared" si="60"/>
        <v>716840</v>
      </c>
      <c r="G159" s="93">
        <f t="shared" si="60"/>
        <v>393580.79999999999</v>
      </c>
      <c r="H159" s="93">
        <f t="shared" si="60"/>
        <v>393150</v>
      </c>
      <c r="I159" s="93">
        <f t="shared" si="60"/>
        <v>388550</v>
      </c>
      <c r="J159" s="93">
        <f t="shared" si="60"/>
        <v>387450</v>
      </c>
      <c r="K159" s="93">
        <f t="shared" si="60"/>
        <v>393350</v>
      </c>
      <c r="L159" s="148">
        <f t="shared" si="60"/>
        <v>4448950.2699999996</v>
      </c>
      <c r="M159" s="147">
        <f t="shared" si="60"/>
        <v>494765</v>
      </c>
      <c r="N159" s="93">
        <f t="shared" si="60"/>
        <v>453730</v>
      </c>
      <c r="O159" s="93">
        <f t="shared" si="60"/>
        <v>451300</v>
      </c>
      <c r="P159" s="93">
        <f t="shared" si="60"/>
        <v>450450</v>
      </c>
      <c r="Q159" s="93">
        <f t="shared" si="60"/>
        <v>455500</v>
      </c>
      <c r="R159" s="93">
        <f t="shared" si="60"/>
        <v>444770</v>
      </c>
      <c r="S159" s="93">
        <f t="shared" si="60"/>
        <v>453720</v>
      </c>
      <c r="T159" s="93">
        <f t="shared" si="60"/>
        <v>452670</v>
      </c>
      <c r="U159" s="93">
        <f t="shared" si="60"/>
        <v>450220</v>
      </c>
      <c r="V159" s="93">
        <f t="shared" si="60"/>
        <v>452670</v>
      </c>
      <c r="W159" s="93">
        <f t="shared" si="60"/>
        <v>495605</v>
      </c>
      <c r="X159" s="93">
        <f t="shared" si="60"/>
        <v>443730</v>
      </c>
      <c r="Y159" s="93">
        <f t="shared" si="60"/>
        <v>452780</v>
      </c>
      <c r="Z159" s="93">
        <f t="shared" si="60"/>
        <v>451730</v>
      </c>
      <c r="AA159" s="93">
        <f t="shared" si="60"/>
        <v>454220</v>
      </c>
      <c r="AB159" s="93">
        <f t="shared" si="60"/>
        <v>6857860</v>
      </c>
      <c r="AC159" s="94">
        <f t="shared" si="60"/>
        <v>11729310.27</v>
      </c>
    </row>
    <row r="160" spans="1:29" ht="18" x14ac:dyDescent="0.35">
      <c r="A160" s="67"/>
      <c r="B160" s="2"/>
      <c r="C160" s="2"/>
      <c r="D160" s="2"/>
      <c r="E160" s="2"/>
      <c r="F160" s="2"/>
      <c r="G160" s="2"/>
      <c r="H160" s="2"/>
      <c r="I160" s="2"/>
      <c r="J160" s="2"/>
      <c r="K160" s="2"/>
      <c r="L160" s="149"/>
      <c r="M160" s="2"/>
      <c r="N160" s="2"/>
      <c r="O160" s="2"/>
      <c r="P160" s="2"/>
      <c r="Q160" s="2"/>
      <c r="R160" s="2"/>
      <c r="S160" s="2"/>
      <c r="T160" s="2"/>
      <c r="U160" s="2"/>
      <c r="V160" s="2"/>
      <c r="W160" s="2"/>
      <c r="X160" s="2"/>
      <c r="Y160" s="2"/>
      <c r="Z160" s="2"/>
      <c r="AA160" s="2"/>
      <c r="AB160" s="2"/>
      <c r="AC160" s="2"/>
    </row>
    <row r="161" spans="1:29" ht="18" x14ac:dyDescent="0.35">
      <c r="A161" s="103"/>
      <c r="B161" s="104"/>
      <c r="C161" s="104"/>
      <c r="D161" s="104"/>
      <c r="E161" s="104"/>
      <c r="F161" s="104"/>
      <c r="G161" s="104"/>
      <c r="H161" s="104"/>
      <c r="I161" s="104"/>
      <c r="J161" s="104"/>
      <c r="K161" s="104"/>
      <c r="L161" s="127"/>
      <c r="M161" s="104"/>
      <c r="N161" s="104"/>
      <c r="O161" s="104"/>
      <c r="P161" s="104"/>
      <c r="Q161" s="104"/>
      <c r="R161" s="104"/>
      <c r="S161" s="104"/>
      <c r="T161" s="104"/>
      <c r="U161" s="104"/>
      <c r="V161" s="104"/>
      <c r="W161" s="104"/>
      <c r="X161" s="104"/>
      <c r="Y161" s="104"/>
      <c r="Z161" s="104"/>
      <c r="AA161" s="104"/>
      <c r="AB161" s="104"/>
      <c r="AC161" s="104"/>
    </row>
    <row r="162" spans="1:29" ht="18" x14ac:dyDescent="0.35">
      <c r="A162" s="67" t="s">
        <v>151</v>
      </c>
      <c r="B162" s="2"/>
      <c r="C162" s="2"/>
      <c r="D162" s="2"/>
      <c r="E162" s="2"/>
      <c r="F162" s="2"/>
      <c r="G162" s="2"/>
      <c r="H162" s="2"/>
      <c r="I162" s="2"/>
      <c r="J162" s="2"/>
      <c r="K162" s="2"/>
      <c r="L162" s="132"/>
      <c r="M162" s="2"/>
      <c r="N162" s="2"/>
      <c r="O162" s="2"/>
      <c r="P162" s="2"/>
      <c r="Q162" s="2"/>
      <c r="R162" s="2"/>
      <c r="S162" s="2"/>
      <c r="T162" s="2"/>
      <c r="U162" s="2"/>
      <c r="V162" s="2"/>
      <c r="W162" s="2"/>
      <c r="X162" s="2"/>
      <c r="Y162" s="2"/>
      <c r="Z162" s="2"/>
      <c r="AA162" s="2"/>
      <c r="AB162" s="2"/>
      <c r="AC162" s="2"/>
    </row>
    <row r="163" spans="1:29" x14ac:dyDescent="0.3">
      <c r="L163" s="132"/>
    </row>
    <row r="164" spans="1:29" ht="18" x14ac:dyDescent="0.35">
      <c r="A164" s="1" t="s">
        <v>150</v>
      </c>
      <c r="L164" s="132"/>
    </row>
    <row r="165" spans="1:29" x14ac:dyDescent="0.3">
      <c r="A165" t="s">
        <v>105</v>
      </c>
      <c r="L165" s="132"/>
    </row>
    <row r="166" spans="1:29" ht="18" x14ac:dyDescent="0.35">
      <c r="A166" s="10" t="s">
        <v>101</v>
      </c>
      <c r="B166" s="87">
        <f t="shared" ref="B166:K166" si="61">B94</f>
        <v>236466</v>
      </c>
      <c r="C166" s="87">
        <f t="shared" si="61"/>
        <v>222919</v>
      </c>
      <c r="D166" s="87">
        <f t="shared" si="61"/>
        <v>168125</v>
      </c>
      <c r="E166" s="87">
        <f t="shared" si="61"/>
        <v>53552</v>
      </c>
      <c r="F166" s="87">
        <f t="shared" si="61"/>
        <v>35235</v>
      </c>
      <c r="G166" s="87">
        <f t="shared" si="61"/>
        <v>183196</v>
      </c>
      <c r="H166" s="87">
        <f t="shared" si="61"/>
        <v>117224</v>
      </c>
      <c r="I166" s="87">
        <f t="shared" si="61"/>
        <v>102207</v>
      </c>
      <c r="J166" s="87">
        <f t="shared" si="61"/>
        <v>109907</v>
      </c>
      <c r="K166" s="87">
        <f t="shared" si="61"/>
        <v>115617</v>
      </c>
      <c r="L166" s="137">
        <f>SUM(B166:K166)</f>
        <v>1344448</v>
      </c>
      <c r="M166" s="87">
        <f t="shared" ref="M166:AA166" si="62">M89</f>
        <v>265288</v>
      </c>
      <c r="N166" s="87">
        <f t="shared" si="62"/>
        <v>157561</v>
      </c>
      <c r="O166" s="87">
        <f t="shared" si="62"/>
        <v>159766</v>
      </c>
      <c r="P166" s="87">
        <f t="shared" si="62"/>
        <v>124457</v>
      </c>
      <c r="Q166" s="87">
        <f t="shared" si="62"/>
        <v>163627</v>
      </c>
      <c r="R166" s="87">
        <f t="shared" si="62"/>
        <v>173477</v>
      </c>
      <c r="S166" s="87">
        <f t="shared" si="62"/>
        <v>189467</v>
      </c>
      <c r="T166" s="87">
        <f t="shared" si="62"/>
        <v>167731</v>
      </c>
      <c r="U166" s="87">
        <f t="shared" si="62"/>
        <v>168172</v>
      </c>
      <c r="V166" s="87">
        <f t="shared" si="62"/>
        <v>167867</v>
      </c>
      <c r="W166" s="87">
        <f t="shared" si="62"/>
        <v>313383</v>
      </c>
      <c r="X166" s="87">
        <f t="shared" si="62"/>
        <v>131782</v>
      </c>
      <c r="Y166" s="87">
        <f t="shared" si="62"/>
        <v>182522</v>
      </c>
      <c r="Z166" s="87">
        <f t="shared" si="62"/>
        <v>168172</v>
      </c>
      <c r="AA166" s="87">
        <f t="shared" si="62"/>
        <v>168172</v>
      </c>
      <c r="AB166" s="181">
        <f>SUM(M166:AA166)</f>
        <v>2701444</v>
      </c>
      <c r="AC166" s="182">
        <f>L166+AB166</f>
        <v>4045892</v>
      </c>
    </row>
    <row r="167" spans="1:29" ht="18" x14ac:dyDescent="0.35">
      <c r="A167" s="96" t="s">
        <v>137</v>
      </c>
      <c r="B167" s="97">
        <v>100000</v>
      </c>
      <c r="C167" s="97">
        <v>100000</v>
      </c>
      <c r="D167" s="97">
        <v>100000</v>
      </c>
      <c r="E167" s="97">
        <v>50000</v>
      </c>
      <c r="F167" s="97">
        <v>30000</v>
      </c>
      <c r="G167" s="97">
        <v>100000</v>
      </c>
      <c r="H167" s="97">
        <v>100000</v>
      </c>
      <c r="I167" s="97">
        <v>100000</v>
      </c>
      <c r="J167" s="97">
        <v>100000</v>
      </c>
      <c r="K167" s="97">
        <v>100000</v>
      </c>
      <c r="L167" s="137">
        <f>SUM(B167:K167)</f>
        <v>880000</v>
      </c>
    </row>
    <row r="168" spans="1:29" ht="18" x14ac:dyDescent="0.35">
      <c r="A168" s="10" t="s">
        <v>139</v>
      </c>
      <c r="B168" s="87">
        <f>B166-B167</f>
        <v>136466</v>
      </c>
      <c r="C168" s="87">
        <f t="shared" ref="C168:K168" si="63">C166-C167</f>
        <v>122919</v>
      </c>
      <c r="D168" s="87">
        <f t="shared" si="63"/>
        <v>68125</v>
      </c>
      <c r="E168" s="87">
        <f t="shared" si="63"/>
        <v>3552</v>
      </c>
      <c r="F168" s="87">
        <f t="shared" si="63"/>
        <v>5235</v>
      </c>
      <c r="G168" s="87">
        <f t="shared" si="63"/>
        <v>83196</v>
      </c>
      <c r="H168" s="87">
        <f t="shared" si="63"/>
        <v>17224</v>
      </c>
      <c r="I168" s="87">
        <f t="shared" si="63"/>
        <v>2207</v>
      </c>
      <c r="J168" s="87">
        <f t="shared" si="63"/>
        <v>9907</v>
      </c>
      <c r="K168" s="87">
        <f t="shared" si="63"/>
        <v>15617</v>
      </c>
      <c r="L168" s="137">
        <f>SUM(B168:K168)</f>
        <v>464448</v>
      </c>
    </row>
    <row r="169" spans="1:29" ht="18" x14ac:dyDescent="0.35">
      <c r="A169" s="10"/>
      <c r="B169" s="87"/>
      <c r="C169" s="87"/>
      <c r="D169" s="87"/>
      <c r="E169" s="87"/>
      <c r="F169" s="87"/>
      <c r="G169" s="87"/>
      <c r="H169" s="87"/>
      <c r="I169" s="87"/>
      <c r="J169" s="87"/>
      <c r="K169" s="87"/>
      <c r="L169" s="132"/>
    </row>
    <row r="170" spans="1:29" ht="18" x14ac:dyDescent="0.35">
      <c r="A170" s="11" t="s">
        <v>103</v>
      </c>
      <c r="B170" s="87">
        <v>0</v>
      </c>
      <c r="C170" s="87">
        <f t="shared" ref="C170:K170" si="64">B172</f>
        <v>136466</v>
      </c>
      <c r="D170" s="87">
        <f t="shared" si="64"/>
        <v>259385</v>
      </c>
      <c r="E170" s="87">
        <f t="shared" si="64"/>
        <v>327510</v>
      </c>
      <c r="F170" s="87">
        <f t="shared" si="64"/>
        <v>331062</v>
      </c>
      <c r="G170" s="87">
        <f t="shared" si="64"/>
        <v>336297</v>
      </c>
      <c r="H170" s="87">
        <f t="shared" si="64"/>
        <v>419493</v>
      </c>
      <c r="I170" s="87">
        <f t="shared" si="64"/>
        <v>436717</v>
      </c>
      <c r="J170" s="87">
        <f t="shared" si="64"/>
        <v>438924</v>
      </c>
      <c r="K170" s="87">
        <f t="shared" si="64"/>
        <v>448831</v>
      </c>
      <c r="L170" s="132"/>
    </row>
    <row r="171" spans="1:29" ht="18" x14ac:dyDescent="0.35">
      <c r="A171" s="11" t="s">
        <v>102</v>
      </c>
      <c r="B171" s="87">
        <f>B168</f>
        <v>136466</v>
      </c>
      <c r="C171" s="87">
        <f t="shared" ref="C171:K171" si="65">C166-C167</f>
        <v>122919</v>
      </c>
      <c r="D171" s="87">
        <f t="shared" si="65"/>
        <v>68125</v>
      </c>
      <c r="E171" s="87">
        <f t="shared" si="65"/>
        <v>3552</v>
      </c>
      <c r="F171" s="87">
        <f t="shared" si="65"/>
        <v>5235</v>
      </c>
      <c r="G171" s="87">
        <f t="shared" si="65"/>
        <v>83196</v>
      </c>
      <c r="H171" s="87">
        <f t="shared" si="65"/>
        <v>17224</v>
      </c>
      <c r="I171" s="87">
        <f t="shared" si="65"/>
        <v>2207</v>
      </c>
      <c r="J171" s="87">
        <f t="shared" si="65"/>
        <v>9907</v>
      </c>
      <c r="K171" s="87">
        <f t="shared" si="65"/>
        <v>15617</v>
      </c>
      <c r="L171" s="137">
        <f>SUM(B171:K171)</f>
        <v>464448</v>
      </c>
    </row>
    <row r="172" spans="1:29" ht="18" x14ac:dyDescent="0.35">
      <c r="A172" s="11" t="s">
        <v>104</v>
      </c>
      <c r="B172" s="87">
        <f>SUM(B170:B171)</f>
        <v>136466</v>
      </c>
      <c r="C172" s="87">
        <f t="shared" ref="C172:K172" si="66">SUM(C170:C171)</f>
        <v>259385</v>
      </c>
      <c r="D172" s="87">
        <f t="shared" si="66"/>
        <v>327510</v>
      </c>
      <c r="E172" s="87">
        <f t="shared" si="66"/>
        <v>331062</v>
      </c>
      <c r="F172" s="87">
        <f t="shared" si="66"/>
        <v>336297</v>
      </c>
      <c r="G172" s="87">
        <f t="shared" si="66"/>
        <v>419493</v>
      </c>
      <c r="H172" s="87">
        <f t="shared" si="66"/>
        <v>436717</v>
      </c>
      <c r="I172" s="87">
        <f t="shared" si="66"/>
        <v>438924</v>
      </c>
      <c r="J172" s="87">
        <f t="shared" si="66"/>
        <v>448831</v>
      </c>
      <c r="K172" s="87">
        <f t="shared" si="66"/>
        <v>464448</v>
      </c>
      <c r="L172" s="132"/>
    </row>
    <row r="173" spans="1:29" ht="18" x14ac:dyDescent="0.35">
      <c r="A173" s="11"/>
      <c r="B173" s="87"/>
      <c r="C173" s="87"/>
      <c r="D173" s="87"/>
      <c r="E173" s="87"/>
      <c r="F173" s="87"/>
      <c r="G173" s="87"/>
      <c r="H173" s="87"/>
      <c r="I173" s="87"/>
      <c r="J173" s="87"/>
      <c r="K173" s="87"/>
      <c r="L173" s="132"/>
    </row>
    <row r="174" spans="1:29" ht="18" x14ac:dyDescent="0.35">
      <c r="A174" s="4" t="s">
        <v>99</v>
      </c>
      <c r="L174" s="132"/>
    </row>
    <row r="175" spans="1:29" ht="18" x14ac:dyDescent="0.35">
      <c r="A175" s="95">
        <v>0.1</v>
      </c>
      <c r="L175" s="132"/>
    </row>
    <row r="176" spans="1:29" ht="36" x14ac:dyDescent="0.35">
      <c r="A176" s="67" t="s">
        <v>154</v>
      </c>
      <c r="L176" s="132"/>
    </row>
    <row r="177" spans="1:13" x14ac:dyDescent="0.3">
      <c r="L177" s="132"/>
    </row>
    <row r="178" spans="1:13" ht="18" x14ac:dyDescent="0.35">
      <c r="A178" s="1" t="s">
        <v>146</v>
      </c>
      <c r="B178" s="2">
        <f>B131*(1+$A$175)</f>
        <v>391938.36</v>
      </c>
      <c r="C178" s="2">
        <f>C131*(1+$A$175)</f>
        <v>393433.22700000001</v>
      </c>
      <c r="D178" s="2">
        <f t="shared" ref="D178:K178" si="67">D131*(1+$A$175)</f>
        <v>215138.00000000003</v>
      </c>
      <c r="E178" s="2">
        <f t="shared" si="67"/>
        <v>216348.00000000003</v>
      </c>
      <c r="F178" s="2">
        <f t="shared" si="67"/>
        <v>221958.00000000003</v>
      </c>
      <c r="G178" s="2">
        <f t="shared" si="67"/>
        <v>219395.00000000003</v>
      </c>
      <c r="H178" s="2">
        <f t="shared" si="67"/>
        <v>221408.00000000003</v>
      </c>
      <c r="I178" s="2">
        <f t="shared" si="67"/>
        <v>216348.00000000003</v>
      </c>
      <c r="J178" s="2">
        <f t="shared" si="67"/>
        <v>215358.00000000003</v>
      </c>
      <c r="K178" s="2">
        <f t="shared" si="67"/>
        <v>221848.00000000003</v>
      </c>
      <c r="L178" s="135">
        <f>SUM(B178:K178)</f>
        <v>2533172.5870000003</v>
      </c>
    </row>
    <row r="179" spans="1:13" ht="18" x14ac:dyDescent="0.35">
      <c r="A179" s="1"/>
      <c r="B179" s="2"/>
      <c r="C179" s="2"/>
      <c r="D179" s="2"/>
      <c r="E179" s="2"/>
      <c r="F179" s="2"/>
      <c r="G179" s="2"/>
      <c r="H179" s="2"/>
      <c r="I179" s="2"/>
      <c r="J179" s="2"/>
      <c r="K179" s="2"/>
      <c r="L179" s="133"/>
    </row>
    <row r="180" spans="1:13" ht="18" x14ac:dyDescent="0.35">
      <c r="A180" s="1" t="s">
        <v>125</v>
      </c>
      <c r="L180" s="133"/>
    </row>
    <row r="181" spans="1:13" ht="18" x14ac:dyDescent="0.35">
      <c r="A181" s="165" t="s">
        <v>147</v>
      </c>
      <c r="B181" s="87">
        <v>0</v>
      </c>
      <c r="C181" s="87">
        <f>B171</f>
        <v>136466</v>
      </c>
      <c r="D181" s="87">
        <f t="shared" ref="D181:K181" si="68">C171</f>
        <v>122919</v>
      </c>
      <c r="E181" s="87">
        <f t="shared" si="68"/>
        <v>68125</v>
      </c>
      <c r="F181" s="87">
        <f t="shared" si="68"/>
        <v>3552</v>
      </c>
      <c r="G181" s="87">
        <f t="shared" si="68"/>
        <v>5235</v>
      </c>
      <c r="H181" s="87">
        <f t="shared" si="68"/>
        <v>83196</v>
      </c>
      <c r="I181" s="87">
        <f t="shared" si="68"/>
        <v>17224</v>
      </c>
      <c r="J181" s="87">
        <f t="shared" si="68"/>
        <v>2207</v>
      </c>
      <c r="K181" s="87">
        <f t="shared" si="68"/>
        <v>9907</v>
      </c>
      <c r="L181" s="133">
        <f>SUM(B181:K181)</f>
        <v>448831</v>
      </c>
      <c r="M181" s="87"/>
    </row>
    <row r="182" spans="1:13" ht="18" x14ac:dyDescent="0.35">
      <c r="A182" s="11" t="s">
        <v>117</v>
      </c>
      <c r="L182" s="133"/>
    </row>
    <row r="183" spans="1:13" s="98" customFormat="1" ht="18" x14ac:dyDescent="0.35">
      <c r="A183" s="99" t="s">
        <v>106</v>
      </c>
      <c r="B183" s="98">
        <v>225000</v>
      </c>
      <c r="C183" s="98">
        <v>150000</v>
      </c>
      <c r="D183" s="98">
        <v>0</v>
      </c>
      <c r="E183" s="98">
        <v>0</v>
      </c>
      <c r="F183" s="98">
        <v>0</v>
      </c>
      <c r="G183" s="98">
        <v>0</v>
      </c>
      <c r="H183" s="98">
        <v>0</v>
      </c>
      <c r="I183" s="98">
        <v>0</v>
      </c>
      <c r="J183" s="98">
        <v>0</v>
      </c>
      <c r="K183" s="98">
        <v>0</v>
      </c>
      <c r="L183" s="133">
        <f t="shared" ref="L183:L192" si="69">SUM(B183:K183)</f>
        <v>375000</v>
      </c>
      <c r="M183" s="110"/>
    </row>
    <row r="184" spans="1:13" s="98" customFormat="1" ht="18" x14ac:dyDescent="0.35">
      <c r="A184" s="99" t="s">
        <v>107</v>
      </c>
      <c r="B184" s="98">
        <v>97195</v>
      </c>
      <c r="C184" s="98">
        <v>53710</v>
      </c>
      <c r="D184" s="98">
        <v>0</v>
      </c>
      <c r="E184" s="98">
        <v>0</v>
      </c>
      <c r="F184" s="98">
        <v>0</v>
      </c>
      <c r="G184" s="98">
        <v>0</v>
      </c>
      <c r="H184" s="98">
        <v>0</v>
      </c>
      <c r="I184" s="98">
        <v>0</v>
      </c>
      <c r="J184" s="98">
        <v>0</v>
      </c>
      <c r="K184" s="98">
        <v>0</v>
      </c>
      <c r="L184" s="133">
        <f t="shared" si="69"/>
        <v>150905</v>
      </c>
    </row>
    <row r="185" spans="1:13" s="98" customFormat="1" ht="18" x14ac:dyDescent="0.35">
      <c r="A185" s="99" t="s">
        <v>127</v>
      </c>
      <c r="L185" s="133">
        <f t="shared" si="69"/>
        <v>0</v>
      </c>
      <c r="M185" s="109"/>
    </row>
    <row r="186" spans="1:13" s="98" customFormat="1" ht="18" x14ac:dyDescent="0.35">
      <c r="A186" s="166" t="s">
        <v>119</v>
      </c>
      <c r="F186" s="98">
        <v>35000</v>
      </c>
      <c r="H186" s="98">
        <v>5000</v>
      </c>
      <c r="J186" s="98">
        <v>25000</v>
      </c>
      <c r="L186" s="133">
        <f t="shared" si="69"/>
        <v>65000</v>
      </c>
    </row>
    <row r="187" spans="1:13" s="98" customFormat="1" ht="18" x14ac:dyDescent="0.35">
      <c r="A187" s="167" t="s">
        <v>112</v>
      </c>
      <c r="C187" s="98">
        <v>25000</v>
      </c>
      <c r="E187" s="98">
        <v>25000</v>
      </c>
      <c r="G187" s="98">
        <v>50000</v>
      </c>
      <c r="K187" s="98">
        <v>50000</v>
      </c>
      <c r="L187" s="133">
        <f t="shared" si="69"/>
        <v>150000</v>
      </c>
    </row>
    <row r="188" spans="1:13" s="98" customFormat="1" ht="18" x14ac:dyDescent="0.35">
      <c r="A188" s="167" t="s">
        <v>113</v>
      </c>
      <c r="B188" s="98">
        <v>25000</v>
      </c>
      <c r="C188" s="98">
        <v>10000</v>
      </c>
      <c r="D188" s="98">
        <v>25000</v>
      </c>
      <c r="E188" s="98">
        <v>25000</v>
      </c>
      <c r="F188" s="98">
        <v>25000</v>
      </c>
      <c r="G188" s="98">
        <v>25000</v>
      </c>
      <c r="H188" s="98">
        <v>25000</v>
      </c>
      <c r="I188" s="98">
        <v>50000</v>
      </c>
      <c r="J188" s="98">
        <v>75000</v>
      </c>
      <c r="K188" s="98">
        <v>75000</v>
      </c>
      <c r="L188" s="133">
        <f t="shared" si="69"/>
        <v>360000</v>
      </c>
      <c r="M188" s="110"/>
    </row>
    <row r="189" spans="1:13" s="98" customFormat="1" ht="18" x14ac:dyDescent="0.35">
      <c r="A189" s="167" t="s">
        <v>111</v>
      </c>
      <c r="B189" s="98">
        <v>40000</v>
      </c>
      <c r="C189" s="98">
        <v>10000</v>
      </c>
      <c r="D189" s="98">
        <v>50000</v>
      </c>
      <c r="E189" s="98">
        <v>100000</v>
      </c>
      <c r="F189" s="98">
        <v>100000</v>
      </c>
      <c r="G189" s="98">
        <v>100000</v>
      </c>
      <c r="H189" s="98">
        <v>100000</v>
      </c>
      <c r="I189" s="98">
        <v>100000</v>
      </c>
      <c r="J189" s="98">
        <v>100000</v>
      </c>
      <c r="K189" s="98">
        <v>100000</v>
      </c>
      <c r="L189" s="133">
        <f t="shared" si="69"/>
        <v>800000</v>
      </c>
      <c r="M189" s="110"/>
    </row>
    <row r="190" spans="1:13" s="98" customFormat="1" ht="18" x14ac:dyDescent="0.35">
      <c r="A190" s="25" t="s">
        <v>109</v>
      </c>
      <c r="B190" s="98">
        <v>10000</v>
      </c>
      <c r="C190" s="98">
        <v>10000</v>
      </c>
      <c r="D190" s="98">
        <v>10000</v>
      </c>
      <c r="E190" s="98">
        <v>10000</v>
      </c>
      <c r="F190" s="98">
        <v>10000</v>
      </c>
      <c r="G190" s="98">
        <v>10000</v>
      </c>
      <c r="H190" s="98">
        <v>10000</v>
      </c>
      <c r="I190" s="98">
        <v>10000</v>
      </c>
      <c r="J190" s="98">
        <v>10000</v>
      </c>
      <c r="K190" s="98">
        <v>10000</v>
      </c>
      <c r="L190" s="133">
        <f t="shared" si="69"/>
        <v>100000</v>
      </c>
    </row>
    <row r="191" spans="1:13" s="98" customFormat="1" ht="18" x14ac:dyDescent="0.35">
      <c r="A191" s="25" t="s">
        <v>118</v>
      </c>
      <c r="D191" s="98">
        <v>10000</v>
      </c>
      <c r="F191" s="98">
        <v>50000</v>
      </c>
      <c r="G191" s="98">
        <v>50000</v>
      </c>
      <c r="I191" s="98">
        <v>50000</v>
      </c>
      <c r="J191" s="98">
        <v>10000</v>
      </c>
      <c r="L191" s="133">
        <f t="shared" si="69"/>
        <v>170000</v>
      </c>
      <c r="M191" s="110"/>
    </row>
    <row r="192" spans="1:13" s="98" customFormat="1" ht="18" x14ac:dyDescent="0.35">
      <c r="A192" s="25" t="s">
        <v>110</v>
      </c>
      <c r="B192" s="98">
        <v>0</v>
      </c>
      <c r="C192" s="98">
        <v>0</v>
      </c>
      <c r="D192" s="98">
        <v>0</v>
      </c>
      <c r="E192" s="98">
        <v>0</v>
      </c>
      <c r="F192" s="98">
        <v>0</v>
      </c>
      <c r="G192" s="98">
        <v>0</v>
      </c>
      <c r="H192" s="98">
        <v>0</v>
      </c>
      <c r="I192" s="98">
        <v>0</v>
      </c>
      <c r="J192" s="98">
        <v>0</v>
      </c>
      <c r="K192" s="98">
        <v>0</v>
      </c>
      <c r="L192" s="133">
        <f t="shared" si="69"/>
        <v>0</v>
      </c>
    </row>
    <row r="193" spans="1:13" s="98" customFormat="1" ht="18" x14ac:dyDescent="0.35">
      <c r="A193" s="25" t="s">
        <v>120</v>
      </c>
      <c r="B193" s="98">
        <v>0</v>
      </c>
      <c r="C193" s="98">
        <v>0</v>
      </c>
      <c r="D193" s="98">
        <v>0</v>
      </c>
      <c r="E193" s="98">
        <v>0</v>
      </c>
      <c r="F193" s="98">
        <v>0</v>
      </c>
      <c r="G193" s="98">
        <v>0</v>
      </c>
      <c r="H193" s="98">
        <v>0</v>
      </c>
      <c r="I193" s="98">
        <v>0</v>
      </c>
      <c r="J193" s="98">
        <v>0</v>
      </c>
      <c r="K193" s="98">
        <v>0</v>
      </c>
      <c r="L193" s="133">
        <f>SUM(B193:K193)</f>
        <v>0</v>
      </c>
    </row>
    <row r="194" spans="1:13" ht="18" x14ac:dyDescent="0.35">
      <c r="A194" s="1" t="s">
        <v>108</v>
      </c>
      <c r="B194" s="68">
        <f t="shared" ref="B194:K194" si="70">SUM(B181:B193)</f>
        <v>397195</v>
      </c>
      <c r="C194" s="68">
        <f t="shared" si="70"/>
        <v>395176</v>
      </c>
      <c r="D194" s="68">
        <f t="shared" si="70"/>
        <v>217919</v>
      </c>
      <c r="E194" s="68">
        <f t="shared" si="70"/>
        <v>228125</v>
      </c>
      <c r="F194" s="68">
        <f t="shared" si="70"/>
        <v>223552</v>
      </c>
      <c r="G194" s="68">
        <f t="shared" si="70"/>
        <v>240235</v>
      </c>
      <c r="H194" s="68">
        <f t="shared" si="70"/>
        <v>223196</v>
      </c>
      <c r="I194" s="68">
        <f t="shared" si="70"/>
        <v>227224</v>
      </c>
      <c r="J194" s="68">
        <f t="shared" si="70"/>
        <v>222207</v>
      </c>
      <c r="K194" s="68">
        <f t="shared" si="70"/>
        <v>244907</v>
      </c>
      <c r="L194" s="135">
        <f>SUM(B194:K194)</f>
        <v>2619736</v>
      </c>
    </row>
    <row r="195" spans="1:13" x14ac:dyDescent="0.3">
      <c r="L195" s="133"/>
    </row>
    <row r="196" spans="1:13" ht="18" x14ac:dyDescent="0.35">
      <c r="A196" s="10" t="s">
        <v>156</v>
      </c>
      <c r="B196" s="9">
        <f>B194-B178</f>
        <v>5256.640000000014</v>
      </c>
      <c r="C196" s="9">
        <f>C194-C178</f>
        <v>1742.7729999999865</v>
      </c>
      <c r="D196" s="9">
        <f t="shared" ref="D196:K196" si="71">D194-D178</f>
        <v>2780.9999999999709</v>
      </c>
      <c r="E196" s="9">
        <f t="shared" si="71"/>
        <v>11776.999999999971</v>
      </c>
      <c r="F196" s="9">
        <f t="shared" si="71"/>
        <v>1593.9999999999709</v>
      </c>
      <c r="G196" s="9">
        <f t="shared" si="71"/>
        <v>20839.999999999971</v>
      </c>
      <c r="H196" s="9">
        <f t="shared" si="71"/>
        <v>1787.9999999999709</v>
      </c>
      <c r="I196" s="9">
        <f t="shared" si="71"/>
        <v>10875.999999999971</v>
      </c>
      <c r="J196" s="9">
        <f t="shared" si="71"/>
        <v>6848.9999999999709</v>
      </c>
      <c r="K196" s="9">
        <f t="shared" si="71"/>
        <v>23058.999999999971</v>
      </c>
      <c r="L196" s="133">
        <f>SUM(B196:K196)</f>
        <v>86563.412999999768</v>
      </c>
      <c r="M196" s="16"/>
    </row>
    <row r="197" spans="1:13" ht="18" x14ac:dyDescent="0.35">
      <c r="A197" s="10"/>
      <c r="B197" s="9"/>
      <c r="C197" s="9"/>
      <c r="D197" s="9"/>
      <c r="E197" s="9"/>
      <c r="F197" s="9"/>
      <c r="G197" s="9"/>
      <c r="H197" s="9"/>
      <c r="I197" s="9"/>
      <c r="J197" s="9"/>
      <c r="K197" s="9"/>
      <c r="L197" s="133"/>
    </row>
    <row r="198" spans="1:13" ht="18" x14ac:dyDescent="0.35">
      <c r="A198" s="101"/>
      <c r="B198" s="102"/>
      <c r="C198" s="102"/>
      <c r="D198" s="102"/>
      <c r="E198" s="102"/>
      <c r="F198" s="102"/>
      <c r="G198" s="102"/>
      <c r="H198" s="102"/>
      <c r="I198" s="102"/>
      <c r="J198" s="102"/>
      <c r="K198" s="102"/>
      <c r="L198" s="133"/>
    </row>
    <row r="199" spans="1:13" ht="18" x14ac:dyDescent="0.35">
      <c r="A199" s="67" t="s">
        <v>152</v>
      </c>
      <c r="B199" s="9"/>
      <c r="C199" s="9"/>
      <c r="D199" s="9"/>
      <c r="E199" s="9"/>
      <c r="F199" s="9"/>
      <c r="G199" s="9"/>
      <c r="H199" s="9"/>
      <c r="I199" s="9"/>
      <c r="J199" s="9"/>
      <c r="K199" s="9"/>
      <c r="L199" s="133">
        <f>L181+L183+L184+L185+L186+L187+L188+L189+L190+L191+L192+L193</f>
        <v>2619736</v>
      </c>
    </row>
    <row r="200" spans="1:13" ht="18" x14ac:dyDescent="0.35">
      <c r="A200" s="67"/>
      <c r="B200" s="9"/>
      <c r="C200" s="9"/>
      <c r="D200" s="9"/>
      <c r="E200" s="9"/>
      <c r="F200" s="9"/>
      <c r="G200" s="9"/>
      <c r="H200" s="9"/>
      <c r="I200" s="9"/>
      <c r="J200" s="9"/>
      <c r="K200" s="9"/>
      <c r="L200" s="133"/>
    </row>
    <row r="201" spans="1:13" ht="18" x14ac:dyDescent="0.35">
      <c r="A201" s="1" t="s">
        <v>149</v>
      </c>
      <c r="B201" s="9"/>
      <c r="C201" s="9"/>
      <c r="D201" s="9"/>
      <c r="E201" s="9"/>
      <c r="F201" s="9"/>
      <c r="G201" s="9"/>
      <c r="H201" s="9"/>
      <c r="I201" s="9"/>
      <c r="J201" s="9"/>
      <c r="K201" s="9"/>
      <c r="L201" s="133"/>
    </row>
    <row r="202" spans="1:13" ht="18" x14ac:dyDescent="0.35">
      <c r="A202" t="s">
        <v>105</v>
      </c>
      <c r="B202" s="9"/>
      <c r="C202" s="9"/>
      <c r="D202" s="9"/>
      <c r="E202" s="9"/>
      <c r="F202" s="9"/>
      <c r="G202" s="9"/>
      <c r="H202" s="9"/>
      <c r="I202" s="9"/>
      <c r="J202" s="9"/>
      <c r="K202" s="9"/>
      <c r="L202" s="133"/>
    </row>
    <row r="203" spans="1:13" ht="18" x14ac:dyDescent="0.35">
      <c r="A203" s="10" t="s">
        <v>153</v>
      </c>
      <c r="B203" s="9">
        <f>(B196)</f>
        <v>5256.640000000014</v>
      </c>
      <c r="C203" s="9">
        <f t="shared" ref="C203:K203" si="72">(C196)</f>
        <v>1742.7729999999865</v>
      </c>
      <c r="D203" s="9">
        <f t="shared" si="72"/>
        <v>2780.9999999999709</v>
      </c>
      <c r="E203" s="9">
        <f t="shared" si="72"/>
        <v>11776.999999999971</v>
      </c>
      <c r="F203" s="9">
        <f t="shared" si="72"/>
        <v>1593.9999999999709</v>
      </c>
      <c r="G203" s="9">
        <f t="shared" si="72"/>
        <v>20839.999999999971</v>
      </c>
      <c r="H203" s="9">
        <f t="shared" si="72"/>
        <v>1787.9999999999709</v>
      </c>
      <c r="I203" s="9">
        <f t="shared" si="72"/>
        <v>10875.999999999971</v>
      </c>
      <c r="J203" s="9">
        <f t="shared" si="72"/>
        <v>6848.9999999999709</v>
      </c>
      <c r="K203" s="9">
        <f t="shared" si="72"/>
        <v>23058.999999999971</v>
      </c>
      <c r="L203" s="133">
        <f>SUM(B203:K203)</f>
        <v>86563.412999999768</v>
      </c>
    </row>
    <row r="204" spans="1:13" ht="18" x14ac:dyDescent="0.35">
      <c r="A204" s="96" t="s">
        <v>114</v>
      </c>
      <c r="B204" s="9">
        <v>0</v>
      </c>
      <c r="C204" s="9">
        <v>0</v>
      </c>
      <c r="D204" s="9">
        <v>0</v>
      </c>
      <c r="E204" s="9">
        <v>0</v>
      </c>
      <c r="F204" s="9">
        <v>0</v>
      </c>
      <c r="G204" s="9">
        <v>0</v>
      </c>
      <c r="H204" s="9">
        <v>0</v>
      </c>
      <c r="I204" s="9">
        <v>0</v>
      </c>
      <c r="J204" s="9">
        <v>0</v>
      </c>
      <c r="K204" s="9">
        <v>0</v>
      </c>
      <c r="L204" s="133">
        <f>SUM(B204:K204)</f>
        <v>0</v>
      </c>
    </row>
    <row r="205" spans="1:13" ht="18" x14ac:dyDescent="0.35">
      <c r="A205" s="10" t="s">
        <v>124</v>
      </c>
      <c r="B205" s="9">
        <f t="shared" ref="B205:K205" si="73">B95</f>
        <v>0</v>
      </c>
      <c r="C205" s="9">
        <f t="shared" si="73"/>
        <v>0</v>
      </c>
      <c r="D205" s="9">
        <f t="shared" si="73"/>
        <v>0</v>
      </c>
      <c r="E205" s="9">
        <f t="shared" si="73"/>
        <v>0</v>
      </c>
      <c r="F205" s="9">
        <f t="shared" si="73"/>
        <v>0</v>
      </c>
      <c r="G205" s="9">
        <f t="shared" si="73"/>
        <v>-3786</v>
      </c>
      <c r="H205" s="9">
        <f t="shared" si="73"/>
        <v>12664</v>
      </c>
      <c r="I205" s="9">
        <f t="shared" si="73"/>
        <v>15339</v>
      </c>
      <c r="J205" s="9">
        <f t="shared" si="73"/>
        <v>31689</v>
      </c>
      <c r="K205" s="9">
        <f t="shared" si="73"/>
        <v>34214</v>
      </c>
      <c r="L205" s="133">
        <f>SUM(B205:K205)</f>
        <v>90120</v>
      </c>
    </row>
    <row r="206" spans="1:13" ht="18" x14ac:dyDescent="0.35">
      <c r="A206" s="10" t="s">
        <v>148</v>
      </c>
      <c r="B206" s="9">
        <f>B203-B204+B205</f>
        <v>5256.640000000014</v>
      </c>
      <c r="C206" s="9">
        <f>C203-C204+C205</f>
        <v>1742.7729999999865</v>
      </c>
      <c r="D206" s="9">
        <f t="shared" ref="D206:F206" si="74">D203-D204+D205</f>
        <v>2780.9999999999709</v>
      </c>
      <c r="E206" s="9">
        <f t="shared" si="74"/>
        <v>11776.999999999971</v>
      </c>
      <c r="F206" s="9">
        <f t="shared" si="74"/>
        <v>1593.9999999999709</v>
      </c>
      <c r="G206" s="9">
        <f>G203-G204+G205</f>
        <v>17053.999999999971</v>
      </c>
      <c r="H206" s="9">
        <f>H203-H204+H205</f>
        <v>14451.999999999971</v>
      </c>
      <c r="I206" s="9">
        <f>I203-I204+I205</f>
        <v>26214.999999999971</v>
      </c>
      <c r="J206" s="9">
        <f>J203-J204+J205</f>
        <v>38537.999999999971</v>
      </c>
      <c r="K206" s="9">
        <f>K203-K204+K205</f>
        <v>57272.999999999971</v>
      </c>
      <c r="L206" s="133">
        <f>SUM(B206:K206)</f>
        <v>176683.41299999977</v>
      </c>
    </row>
    <row r="207" spans="1:13" ht="18" x14ac:dyDescent="0.35">
      <c r="A207" s="10"/>
      <c r="B207" s="9"/>
      <c r="C207" s="9"/>
      <c r="D207" s="9"/>
      <c r="E207" s="9"/>
      <c r="F207" s="9"/>
      <c r="G207" s="9"/>
      <c r="H207" s="9"/>
      <c r="I207" s="9"/>
      <c r="J207" s="9"/>
      <c r="K207" s="9"/>
      <c r="L207" s="133"/>
    </row>
    <row r="208" spans="1:13" ht="18" x14ac:dyDescent="0.35">
      <c r="A208" s="11" t="s">
        <v>103</v>
      </c>
      <c r="B208" s="9">
        <v>0</v>
      </c>
      <c r="C208" s="9">
        <f>B210</f>
        <v>5256.640000000014</v>
      </c>
      <c r="D208" s="9">
        <f>C210</f>
        <v>6999.4130000000005</v>
      </c>
      <c r="E208" s="9">
        <f t="shared" ref="E208:K208" si="75">D210</f>
        <v>9780.4129999999714</v>
      </c>
      <c r="F208" s="9">
        <f t="shared" si="75"/>
        <v>21557.412999999942</v>
      </c>
      <c r="G208" s="9">
        <f t="shared" si="75"/>
        <v>23151.412999999913</v>
      </c>
      <c r="H208" s="9">
        <f t="shared" si="75"/>
        <v>40205.412999999884</v>
      </c>
      <c r="I208" s="9">
        <f t="shared" si="75"/>
        <v>54657.412999999855</v>
      </c>
      <c r="J208" s="9">
        <f t="shared" si="75"/>
        <v>80872.412999999826</v>
      </c>
      <c r="K208" s="9">
        <f t="shared" si="75"/>
        <v>119410.4129999998</v>
      </c>
      <c r="L208" s="133"/>
    </row>
    <row r="209" spans="1:13" ht="18" x14ac:dyDescent="0.35">
      <c r="A209" s="10" t="s">
        <v>102</v>
      </c>
      <c r="B209" s="9">
        <f>B206</f>
        <v>5256.640000000014</v>
      </c>
      <c r="C209" s="9">
        <f t="shared" ref="C209:K209" si="76">C206</f>
        <v>1742.7729999999865</v>
      </c>
      <c r="D209" s="9">
        <f t="shared" si="76"/>
        <v>2780.9999999999709</v>
      </c>
      <c r="E209" s="9">
        <f t="shared" si="76"/>
        <v>11776.999999999971</v>
      </c>
      <c r="F209" s="9">
        <f t="shared" si="76"/>
        <v>1593.9999999999709</v>
      </c>
      <c r="G209" s="9">
        <f t="shared" si="76"/>
        <v>17053.999999999971</v>
      </c>
      <c r="H209" s="9">
        <f t="shared" si="76"/>
        <v>14451.999999999971</v>
      </c>
      <c r="I209" s="9">
        <f t="shared" si="76"/>
        <v>26214.999999999971</v>
      </c>
      <c r="J209" s="9">
        <f t="shared" si="76"/>
        <v>38537.999999999971</v>
      </c>
      <c r="K209" s="9">
        <f t="shared" si="76"/>
        <v>57272.999999999971</v>
      </c>
      <c r="L209" s="133">
        <f>SUM(B209:K209)</f>
        <v>176683.41299999977</v>
      </c>
    </row>
    <row r="210" spans="1:13" ht="18" x14ac:dyDescent="0.35">
      <c r="A210" s="11" t="s">
        <v>104</v>
      </c>
      <c r="B210" s="9">
        <f>B208+B209</f>
        <v>5256.640000000014</v>
      </c>
      <c r="C210" s="9">
        <f>C208+C209</f>
        <v>6999.4130000000005</v>
      </c>
      <c r="D210" s="9">
        <f>D208+D209</f>
        <v>9780.4129999999714</v>
      </c>
      <c r="E210" s="9">
        <f t="shared" ref="E210:K210" si="77">E208+E209</f>
        <v>21557.412999999942</v>
      </c>
      <c r="F210" s="9">
        <f t="shared" si="77"/>
        <v>23151.412999999913</v>
      </c>
      <c r="G210" s="9">
        <f t="shared" si="77"/>
        <v>40205.412999999884</v>
      </c>
      <c r="H210" s="9">
        <f t="shared" si="77"/>
        <v>54657.412999999855</v>
      </c>
      <c r="I210" s="9">
        <f t="shared" si="77"/>
        <v>80872.412999999826</v>
      </c>
      <c r="J210" s="9">
        <f t="shared" si="77"/>
        <v>119410.4129999998</v>
      </c>
      <c r="K210" s="9">
        <f t="shared" si="77"/>
        <v>176683.41299999977</v>
      </c>
      <c r="L210" s="133"/>
    </row>
    <row r="211" spans="1:13" ht="18" x14ac:dyDescent="0.35">
      <c r="A211" s="11"/>
      <c r="B211" s="9"/>
      <c r="C211" s="9"/>
      <c r="D211" s="9"/>
      <c r="E211" s="9"/>
      <c r="F211" s="9"/>
      <c r="G211" s="9"/>
      <c r="H211" s="9"/>
      <c r="I211" s="9"/>
      <c r="J211" s="9"/>
      <c r="K211" s="9"/>
      <c r="L211" s="133"/>
    </row>
    <row r="212" spans="1:13" ht="18" x14ac:dyDescent="0.35">
      <c r="A212" s="4" t="s">
        <v>99</v>
      </c>
      <c r="B212" s="9"/>
      <c r="C212" s="9"/>
      <c r="D212" s="9"/>
      <c r="E212" s="9"/>
      <c r="F212" s="9"/>
      <c r="G212" s="9"/>
      <c r="H212" s="9"/>
      <c r="I212" s="9"/>
      <c r="J212" s="9"/>
      <c r="K212" s="9"/>
      <c r="L212" s="133"/>
    </row>
    <row r="213" spans="1:13" ht="18" x14ac:dyDescent="0.35">
      <c r="A213" s="95">
        <v>0.1</v>
      </c>
      <c r="B213" s="9"/>
      <c r="C213" s="9"/>
      <c r="D213" s="9"/>
      <c r="E213" s="9"/>
      <c r="F213" s="9"/>
      <c r="G213" s="9"/>
      <c r="H213" s="9"/>
      <c r="I213" s="9"/>
      <c r="J213" s="9"/>
      <c r="K213" s="9"/>
      <c r="L213" s="133"/>
    </row>
    <row r="214" spans="1:13" ht="36" x14ac:dyDescent="0.35">
      <c r="A214" s="67" t="s">
        <v>155</v>
      </c>
      <c r="B214" s="9"/>
      <c r="C214" s="9"/>
      <c r="D214" s="9"/>
      <c r="E214" s="9"/>
      <c r="F214" s="9"/>
      <c r="G214" s="9"/>
      <c r="H214" s="9"/>
      <c r="I214" s="9"/>
      <c r="J214" s="9"/>
      <c r="K214" s="9"/>
      <c r="L214" s="133"/>
    </row>
    <row r="215" spans="1:13" ht="18" x14ac:dyDescent="0.35">
      <c r="B215" s="9"/>
      <c r="C215" s="9"/>
      <c r="D215" s="9"/>
      <c r="E215" s="9"/>
      <c r="F215" s="9"/>
      <c r="G215" s="9"/>
      <c r="H215" s="9"/>
      <c r="I215" s="9"/>
      <c r="J215" s="9"/>
      <c r="K215" s="9"/>
      <c r="L215" s="133"/>
    </row>
    <row r="216" spans="1:13" ht="18" x14ac:dyDescent="0.35">
      <c r="A216" s="1" t="s">
        <v>100</v>
      </c>
      <c r="B216" s="2">
        <f t="shared" ref="B216:K216" si="78">B148*(1+$A$213)</f>
        <v>63387.500000000007</v>
      </c>
      <c r="C216" s="2">
        <f t="shared" si="78"/>
        <v>139688.45000000001</v>
      </c>
      <c r="D216" s="2">
        <f t="shared" si="78"/>
        <v>121572.88000000002</v>
      </c>
      <c r="E216" s="2">
        <f t="shared" si="78"/>
        <v>148126</v>
      </c>
      <c r="F216" s="2">
        <f t="shared" si="78"/>
        <v>500566.00000000006</v>
      </c>
      <c r="G216" s="2">
        <f t="shared" si="78"/>
        <v>147543.88</v>
      </c>
      <c r="H216" s="2">
        <f t="shared" si="78"/>
        <v>145057</v>
      </c>
      <c r="I216" s="2">
        <f t="shared" si="78"/>
        <v>145057</v>
      </c>
      <c r="J216" s="2">
        <f t="shared" si="78"/>
        <v>144837</v>
      </c>
      <c r="K216" s="2">
        <f t="shared" si="78"/>
        <v>144837</v>
      </c>
      <c r="L216" s="133">
        <f>SUM(B216:K216)</f>
        <v>1700672.71</v>
      </c>
    </row>
    <row r="217" spans="1:13" ht="18" x14ac:dyDescent="0.35">
      <c r="A217" s="1"/>
      <c r="B217" s="2"/>
      <c r="C217" s="2"/>
      <c r="D217" s="2"/>
      <c r="E217" s="2"/>
      <c r="F217" s="2"/>
      <c r="G217" s="2"/>
      <c r="H217" s="2"/>
      <c r="I217" s="2"/>
      <c r="J217" s="2"/>
      <c r="K217" s="2"/>
      <c r="L217" s="133"/>
    </row>
    <row r="218" spans="1:13" ht="18" x14ac:dyDescent="0.35">
      <c r="A218" s="1" t="s">
        <v>125</v>
      </c>
      <c r="B218" s="9"/>
      <c r="C218" s="9"/>
      <c r="D218" s="9"/>
      <c r="E218" s="9"/>
      <c r="F218" s="9"/>
      <c r="G218" s="9"/>
      <c r="H218" s="9"/>
      <c r="I218" s="9"/>
      <c r="J218" s="9"/>
      <c r="K218" s="9"/>
      <c r="L218" s="133"/>
    </row>
    <row r="219" spans="1:13" ht="18" x14ac:dyDescent="0.35">
      <c r="A219" s="11" t="s">
        <v>121</v>
      </c>
      <c r="B219" s="9">
        <f>B206</f>
        <v>5256.640000000014</v>
      </c>
      <c r="C219" s="9">
        <f t="shared" ref="C219:K219" si="79">C206</f>
        <v>1742.7729999999865</v>
      </c>
      <c r="D219" s="9">
        <f t="shared" si="79"/>
        <v>2780.9999999999709</v>
      </c>
      <c r="E219" s="9">
        <f t="shared" si="79"/>
        <v>11776.999999999971</v>
      </c>
      <c r="F219" s="9">
        <f t="shared" si="79"/>
        <v>1593.9999999999709</v>
      </c>
      <c r="G219" s="9">
        <f t="shared" si="79"/>
        <v>17053.999999999971</v>
      </c>
      <c r="H219" s="9">
        <f t="shared" si="79"/>
        <v>14451.999999999971</v>
      </c>
      <c r="I219" s="9">
        <f t="shared" si="79"/>
        <v>26214.999999999971</v>
      </c>
      <c r="J219" s="9">
        <f t="shared" si="79"/>
        <v>38537.999999999971</v>
      </c>
      <c r="K219" s="9">
        <f t="shared" si="79"/>
        <v>57272.999999999971</v>
      </c>
      <c r="L219" s="133">
        <f>SUM(B219:K219)</f>
        <v>176683.41299999977</v>
      </c>
      <c r="M219" s="111"/>
    </row>
    <row r="220" spans="1:13" ht="18" x14ac:dyDescent="0.35">
      <c r="A220" s="11" t="s">
        <v>117</v>
      </c>
      <c r="B220" s="9"/>
      <c r="C220" s="9"/>
      <c r="D220" s="9"/>
      <c r="E220" s="9"/>
      <c r="F220" s="9"/>
      <c r="G220" s="9"/>
      <c r="H220" s="9"/>
      <c r="I220" s="9"/>
      <c r="J220" s="9"/>
      <c r="K220" s="9"/>
      <c r="L220" s="133"/>
    </row>
    <row r="221" spans="1:13" ht="18" x14ac:dyDescent="0.35">
      <c r="A221" s="99" t="s">
        <v>106</v>
      </c>
      <c r="B221" s="9">
        <v>0</v>
      </c>
      <c r="C221" s="9">
        <v>0</v>
      </c>
      <c r="D221" s="9">
        <v>0</v>
      </c>
      <c r="E221" s="9">
        <v>0</v>
      </c>
      <c r="F221" s="9">
        <v>0</v>
      </c>
      <c r="G221" s="9">
        <v>0</v>
      </c>
      <c r="H221" s="9">
        <v>0</v>
      </c>
      <c r="I221" s="9">
        <v>0</v>
      </c>
      <c r="J221" s="9">
        <v>0</v>
      </c>
      <c r="K221" s="9">
        <v>0</v>
      </c>
      <c r="L221" s="133">
        <f t="shared" ref="L221:L231" si="80">SUM(B221:K221)</f>
        <v>0</v>
      </c>
    </row>
    <row r="222" spans="1:13" ht="18" x14ac:dyDescent="0.35">
      <c r="A222" s="99" t="s">
        <v>107</v>
      </c>
      <c r="B222" s="9">
        <v>76525</v>
      </c>
      <c r="C222" s="9">
        <v>42725</v>
      </c>
      <c r="D222" s="9">
        <v>0</v>
      </c>
      <c r="E222" s="9">
        <v>0</v>
      </c>
      <c r="F222" s="9">
        <v>0</v>
      </c>
      <c r="G222" s="9">
        <v>0</v>
      </c>
      <c r="H222" s="9">
        <v>0</v>
      </c>
      <c r="I222" s="9">
        <v>0</v>
      </c>
      <c r="J222" s="9">
        <v>0</v>
      </c>
      <c r="K222" s="9">
        <v>0</v>
      </c>
      <c r="L222" s="133">
        <f t="shared" si="80"/>
        <v>119250</v>
      </c>
    </row>
    <row r="223" spans="1:13" ht="18" x14ac:dyDescent="0.35">
      <c r="A223" s="99" t="s">
        <v>115</v>
      </c>
      <c r="B223" s="9">
        <v>0</v>
      </c>
      <c r="C223" s="9">
        <v>0</v>
      </c>
      <c r="D223" s="9">
        <v>0</v>
      </c>
      <c r="E223" s="9">
        <v>0</v>
      </c>
      <c r="F223" s="9">
        <v>0</v>
      </c>
      <c r="G223" s="9">
        <v>0</v>
      </c>
      <c r="H223" s="9">
        <v>0</v>
      </c>
      <c r="I223" s="9">
        <v>0</v>
      </c>
      <c r="J223" s="9">
        <v>0</v>
      </c>
      <c r="K223" s="9">
        <v>0</v>
      </c>
      <c r="L223" s="133">
        <f t="shared" si="80"/>
        <v>0</v>
      </c>
    </row>
    <row r="224" spans="1:13" ht="18" x14ac:dyDescent="0.35">
      <c r="A224" s="166" t="s">
        <v>119</v>
      </c>
      <c r="B224" s="9"/>
      <c r="C224" s="9"/>
      <c r="D224" s="9"/>
      <c r="E224" s="9"/>
      <c r="F224" s="9"/>
      <c r="G224" s="9"/>
      <c r="H224" s="9"/>
      <c r="I224" s="9"/>
      <c r="J224" s="9"/>
      <c r="K224" s="9"/>
      <c r="L224" s="133">
        <f t="shared" si="80"/>
        <v>0</v>
      </c>
    </row>
    <row r="225" spans="1:13" ht="18" x14ac:dyDescent="0.35">
      <c r="A225" s="167" t="s">
        <v>112</v>
      </c>
      <c r="B225" s="9"/>
      <c r="C225" s="9"/>
      <c r="D225" s="9"/>
      <c r="E225" s="9"/>
      <c r="F225" s="9">
        <v>10000</v>
      </c>
      <c r="G225" s="9"/>
      <c r="H225" s="9"/>
      <c r="I225" s="9"/>
      <c r="J225" s="9"/>
      <c r="K225" s="9"/>
      <c r="L225" s="133">
        <f t="shared" si="80"/>
        <v>10000</v>
      </c>
    </row>
    <row r="226" spans="1:13" ht="18" x14ac:dyDescent="0.35">
      <c r="A226" s="167" t="s">
        <v>113</v>
      </c>
      <c r="B226" s="9"/>
      <c r="C226" s="9">
        <v>50000</v>
      </c>
      <c r="D226" s="9">
        <v>50000</v>
      </c>
      <c r="E226" s="9">
        <v>50000</v>
      </c>
      <c r="F226" s="9">
        <v>200000</v>
      </c>
      <c r="G226" s="9">
        <v>75000</v>
      </c>
      <c r="H226" s="9">
        <v>75000</v>
      </c>
      <c r="I226" s="9">
        <v>75000</v>
      </c>
      <c r="J226" s="9">
        <v>50000</v>
      </c>
      <c r="K226" s="9">
        <v>50000</v>
      </c>
      <c r="L226" s="133">
        <f t="shared" si="80"/>
        <v>675000</v>
      </c>
    </row>
    <row r="227" spans="1:13" ht="18" x14ac:dyDescent="0.35">
      <c r="A227" s="167" t="s">
        <v>111</v>
      </c>
      <c r="B227" s="9"/>
      <c r="C227" s="9">
        <v>50000</v>
      </c>
      <c r="D227" s="9">
        <v>75000</v>
      </c>
      <c r="E227" s="9">
        <v>75000</v>
      </c>
      <c r="F227" s="9">
        <v>200000</v>
      </c>
      <c r="G227" s="9">
        <v>75000</v>
      </c>
      <c r="H227" s="9">
        <v>75000</v>
      </c>
      <c r="I227" s="9">
        <v>50000</v>
      </c>
      <c r="J227" s="9">
        <v>50000</v>
      </c>
      <c r="K227" s="9">
        <v>50000</v>
      </c>
      <c r="L227" s="133">
        <f t="shared" si="80"/>
        <v>700000</v>
      </c>
    </row>
    <row r="228" spans="1:13" ht="18" x14ac:dyDescent="0.35">
      <c r="A228" s="25" t="s">
        <v>109</v>
      </c>
      <c r="B228" s="9"/>
      <c r="C228" s="9"/>
      <c r="D228" s="9"/>
      <c r="E228" s="9"/>
      <c r="F228" s="9">
        <v>100000</v>
      </c>
      <c r="G228" s="9"/>
      <c r="H228" s="9"/>
      <c r="I228" s="9"/>
      <c r="J228" s="9"/>
      <c r="K228" s="9"/>
      <c r="L228" s="133">
        <f t="shared" si="80"/>
        <v>100000</v>
      </c>
    </row>
    <row r="229" spans="1:13" ht="18" x14ac:dyDescent="0.35">
      <c r="A229" s="25" t="s">
        <v>118</v>
      </c>
      <c r="B229" s="9"/>
      <c r="C229" s="9"/>
      <c r="D229" s="9"/>
      <c r="E229" s="9">
        <v>15000</v>
      </c>
      <c r="F229" s="9"/>
      <c r="G229" s="9"/>
      <c r="H229" s="9"/>
      <c r="I229" s="9"/>
      <c r="J229" s="9">
        <v>15000</v>
      </c>
      <c r="K229" s="9"/>
      <c r="L229" s="133">
        <f t="shared" si="80"/>
        <v>30000</v>
      </c>
    </row>
    <row r="230" spans="1:13" ht="18" x14ac:dyDescent="0.35">
      <c r="A230" s="25" t="s">
        <v>110</v>
      </c>
      <c r="B230" s="9"/>
      <c r="C230" s="9"/>
      <c r="D230" s="9"/>
      <c r="E230" s="9"/>
      <c r="F230" s="9"/>
      <c r="G230" s="9"/>
      <c r="H230" s="9"/>
      <c r="I230" s="9"/>
      <c r="J230" s="9"/>
      <c r="K230" s="9"/>
      <c r="L230" s="133">
        <f t="shared" si="80"/>
        <v>0</v>
      </c>
    </row>
    <row r="231" spans="1:13" ht="18" x14ac:dyDescent="0.35">
      <c r="A231" s="25" t="s">
        <v>126</v>
      </c>
      <c r="B231" s="9"/>
      <c r="C231" s="9"/>
      <c r="D231" s="9"/>
      <c r="E231" s="9"/>
      <c r="F231" s="9"/>
      <c r="G231" s="9"/>
      <c r="H231" s="9"/>
      <c r="I231" s="9"/>
      <c r="J231" s="9"/>
      <c r="K231" s="9"/>
      <c r="L231" s="133">
        <f t="shared" si="80"/>
        <v>0</v>
      </c>
    </row>
    <row r="232" spans="1:13" ht="18" x14ac:dyDescent="0.35">
      <c r="A232" s="1" t="s">
        <v>108</v>
      </c>
      <c r="B232" s="2">
        <f>SUM(B219:B231)</f>
        <v>81781.640000000014</v>
      </c>
      <c r="C232" s="2">
        <f t="shared" ref="C232:K232" si="81">SUM(C219:C231)</f>
        <v>144467.77299999999</v>
      </c>
      <c r="D232" s="2">
        <f t="shared" si="81"/>
        <v>127780.99999999997</v>
      </c>
      <c r="E232" s="2">
        <f t="shared" si="81"/>
        <v>151776.99999999997</v>
      </c>
      <c r="F232" s="2">
        <f t="shared" si="81"/>
        <v>511594</v>
      </c>
      <c r="G232" s="2">
        <f t="shared" si="81"/>
        <v>167053.99999999997</v>
      </c>
      <c r="H232" s="2">
        <f t="shared" si="81"/>
        <v>164451.99999999997</v>
      </c>
      <c r="I232" s="2">
        <f t="shared" si="81"/>
        <v>151214.99999999997</v>
      </c>
      <c r="J232" s="2">
        <f t="shared" si="81"/>
        <v>153537.99999999997</v>
      </c>
      <c r="K232" s="2">
        <f t="shared" si="81"/>
        <v>157272.99999999997</v>
      </c>
      <c r="L232" s="135">
        <f>SUM(B232:K232)</f>
        <v>1810933.4129999999</v>
      </c>
    </row>
    <row r="233" spans="1:13" ht="18" x14ac:dyDescent="0.35">
      <c r="B233" s="9"/>
      <c r="C233" s="9"/>
      <c r="D233" s="9"/>
      <c r="E233" s="9"/>
      <c r="F233" s="9"/>
      <c r="G233" s="9"/>
      <c r="H233" s="9"/>
      <c r="I233" s="9"/>
      <c r="J233" s="9"/>
      <c r="K233" s="9"/>
      <c r="L233" s="133"/>
    </row>
    <row r="234" spans="1:13" ht="18" x14ac:dyDescent="0.35">
      <c r="A234" s="10" t="s">
        <v>157</v>
      </c>
      <c r="B234" s="9">
        <f>B232-B216</f>
        <v>18394.140000000007</v>
      </c>
      <c r="C234" s="9">
        <f>C232-C216</f>
        <v>4779.3229999999749</v>
      </c>
      <c r="D234" s="9">
        <f>D232-D216</f>
        <v>6208.1199999999517</v>
      </c>
      <c r="E234" s="9">
        <f>E232-E216</f>
        <v>3650.9999999999709</v>
      </c>
      <c r="F234" s="9">
        <f>F232-F216</f>
        <v>11027.999999999942</v>
      </c>
      <c r="G234" s="9">
        <f t="shared" ref="G234:K234" si="82">G232-G216</f>
        <v>19510.119999999966</v>
      </c>
      <c r="H234" s="9">
        <f t="shared" si="82"/>
        <v>19394.999999999971</v>
      </c>
      <c r="I234" s="9">
        <f t="shared" si="82"/>
        <v>6157.9999999999709</v>
      </c>
      <c r="J234" s="9">
        <f t="shared" si="82"/>
        <v>8700.9999999999709</v>
      </c>
      <c r="K234" s="9">
        <f t="shared" si="82"/>
        <v>12435.999999999971</v>
      </c>
      <c r="L234" s="133">
        <f>SUM(B234:K234)</f>
        <v>110260.70299999969</v>
      </c>
      <c r="M234" s="16"/>
    </row>
    <row r="235" spans="1:13" ht="18" x14ac:dyDescent="0.35">
      <c r="A235" s="10"/>
      <c r="B235" s="9"/>
      <c r="C235" s="9"/>
      <c r="D235" s="9"/>
      <c r="E235" s="9"/>
      <c r="F235" s="9"/>
      <c r="G235" s="9"/>
      <c r="H235" s="9"/>
      <c r="I235" s="9"/>
      <c r="J235" s="9"/>
      <c r="K235" s="9"/>
      <c r="L235" s="133"/>
    </row>
    <row r="236" spans="1:13" ht="18" x14ac:dyDescent="0.35">
      <c r="A236" s="10"/>
      <c r="B236" s="9"/>
      <c r="C236" s="9"/>
      <c r="D236" s="9"/>
      <c r="E236" s="9"/>
      <c r="F236" s="9"/>
      <c r="G236" s="9"/>
      <c r="H236" s="9"/>
      <c r="I236" s="9"/>
      <c r="J236" s="9"/>
      <c r="K236" s="9"/>
      <c r="L236" s="133"/>
    </row>
    <row r="237" spans="1:13" ht="18" x14ac:dyDescent="0.35">
      <c r="A237" s="10"/>
      <c r="B237" s="9"/>
      <c r="C237" s="9"/>
      <c r="D237" s="9"/>
      <c r="E237" s="9"/>
      <c r="F237" s="9"/>
      <c r="G237" s="9"/>
      <c r="H237" s="9"/>
      <c r="I237" s="9"/>
      <c r="J237" s="9"/>
      <c r="K237" s="9"/>
      <c r="L237" s="133"/>
    </row>
    <row r="238" spans="1:13" ht="18" x14ac:dyDescent="0.35">
      <c r="A238" s="10"/>
      <c r="L238" s="132"/>
    </row>
    <row r="239" spans="1:13" ht="18" x14ac:dyDescent="0.35">
      <c r="A239" s="100"/>
      <c r="B239" s="60"/>
      <c r="C239" s="60"/>
      <c r="D239" s="60"/>
      <c r="E239" s="60"/>
      <c r="F239" s="60"/>
      <c r="G239" s="60"/>
      <c r="H239" s="60"/>
      <c r="I239" s="60"/>
      <c r="J239" s="60"/>
      <c r="K239" s="60"/>
      <c r="L239" s="132"/>
    </row>
    <row r="240" spans="1:13" ht="18" x14ac:dyDescent="0.35">
      <c r="A240" s="1"/>
      <c r="L240" s="132"/>
    </row>
    <row r="241" spans="1:29" x14ac:dyDescent="0.3">
      <c r="L241" s="132"/>
    </row>
    <row r="242" spans="1:29" ht="18" x14ac:dyDescent="0.35">
      <c r="A242" s="1" t="s">
        <v>75</v>
      </c>
      <c r="L242" s="132"/>
    </row>
    <row r="243" spans="1:29" x14ac:dyDescent="0.3">
      <c r="L243" s="132"/>
    </row>
    <row r="244" spans="1:29" ht="18" x14ac:dyDescent="0.35">
      <c r="A244" s="1" t="s">
        <v>76</v>
      </c>
      <c r="L244" s="132"/>
    </row>
    <row r="245" spans="1:29" x14ac:dyDescent="0.3">
      <c r="A245" t="s">
        <v>77</v>
      </c>
      <c r="L245" s="132"/>
    </row>
    <row r="246" spans="1:29" ht="18" x14ac:dyDescent="0.35">
      <c r="A246" s="4" t="s">
        <v>78</v>
      </c>
      <c r="B246" s="65">
        <f t="shared" ref="B246:AC246" si="83">B10</f>
        <v>1692</v>
      </c>
      <c r="C246" s="65">
        <f t="shared" si="83"/>
        <v>10050</v>
      </c>
      <c r="D246" s="65">
        <f t="shared" si="83"/>
        <v>12774.8</v>
      </c>
      <c r="E246" s="65">
        <f t="shared" si="83"/>
        <v>18582</v>
      </c>
      <c r="F246" s="65">
        <f t="shared" si="83"/>
        <v>19428</v>
      </c>
      <c r="G246" s="65">
        <f t="shared" si="83"/>
        <v>20274</v>
      </c>
      <c r="H246" s="65">
        <f t="shared" si="83"/>
        <v>21120</v>
      </c>
      <c r="I246" s="65">
        <f t="shared" si="83"/>
        <v>21120</v>
      </c>
      <c r="J246" s="65">
        <f t="shared" si="83"/>
        <v>21120</v>
      </c>
      <c r="K246" s="65">
        <f t="shared" si="83"/>
        <v>21120</v>
      </c>
      <c r="L246" s="128">
        <f t="shared" si="83"/>
        <v>167280.79999999999</v>
      </c>
      <c r="M246" s="65">
        <f t="shared" si="83"/>
        <v>21120</v>
      </c>
      <c r="N246" s="65">
        <f t="shared" si="83"/>
        <v>21120</v>
      </c>
      <c r="O246" s="65">
        <f t="shared" si="83"/>
        <v>21120</v>
      </c>
      <c r="P246" s="65">
        <f t="shared" si="83"/>
        <v>21120</v>
      </c>
      <c r="Q246" s="65">
        <f t="shared" si="83"/>
        <v>21120</v>
      </c>
      <c r="R246" s="65">
        <f t="shared" si="83"/>
        <v>16920</v>
      </c>
      <c r="S246" s="65">
        <f t="shared" si="83"/>
        <v>21120</v>
      </c>
      <c r="T246" s="65">
        <f t="shared" si="83"/>
        <v>21120</v>
      </c>
      <c r="U246" s="65">
        <f t="shared" si="83"/>
        <v>21120</v>
      </c>
      <c r="V246" s="65">
        <f t="shared" si="83"/>
        <v>21120</v>
      </c>
      <c r="W246" s="65">
        <f t="shared" si="83"/>
        <v>21120</v>
      </c>
      <c r="X246" s="65">
        <f t="shared" si="83"/>
        <v>21120</v>
      </c>
      <c r="Y246" s="65">
        <f t="shared" si="83"/>
        <v>21120</v>
      </c>
      <c r="Z246" s="65">
        <f t="shared" si="83"/>
        <v>21120</v>
      </c>
      <c r="AA246" s="65">
        <f t="shared" si="83"/>
        <v>21120</v>
      </c>
      <c r="AB246" s="183">
        <f t="shared" si="83"/>
        <v>312600</v>
      </c>
      <c r="AC246" s="65">
        <f t="shared" si="83"/>
        <v>479880.8</v>
      </c>
    </row>
    <row r="247" spans="1:29" ht="18" x14ac:dyDescent="0.35">
      <c r="A247" s="4" t="s">
        <v>80</v>
      </c>
      <c r="B247" s="65">
        <f t="shared" ref="B247:AC247" si="84">B16</f>
        <v>259486.33333333299</v>
      </c>
      <c r="C247" s="65">
        <f t="shared" si="84"/>
        <v>155090.33333333299</v>
      </c>
      <c r="D247" s="65">
        <f t="shared" si="84"/>
        <v>165090.33333333299</v>
      </c>
      <c r="E247" s="65">
        <f t="shared" si="84"/>
        <v>53220</v>
      </c>
      <c r="F247" s="65">
        <f t="shared" si="84"/>
        <v>63720</v>
      </c>
      <c r="G247" s="65">
        <f t="shared" si="84"/>
        <v>197342</v>
      </c>
      <c r="H247" s="65">
        <f t="shared" si="84"/>
        <v>95905</v>
      </c>
      <c r="I247" s="65">
        <f t="shared" si="84"/>
        <v>100540</v>
      </c>
      <c r="J247" s="65">
        <f t="shared" si="84"/>
        <v>108450</v>
      </c>
      <c r="K247" s="65">
        <f t="shared" si="84"/>
        <v>115360</v>
      </c>
      <c r="L247" s="128">
        <f t="shared" si="84"/>
        <v>1314203.9999999991</v>
      </c>
      <c r="M247" s="65">
        <f t="shared" si="84"/>
        <v>225191</v>
      </c>
      <c r="N247" s="65">
        <f t="shared" si="84"/>
        <v>115360</v>
      </c>
      <c r="O247" s="65">
        <f t="shared" si="84"/>
        <v>115360</v>
      </c>
      <c r="P247" s="65">
        <f t="shared" si="84"/>
        <v>115360</v>
      </c>
      <c r="Q247" s="65">
        <f t="shared" si="84"/>
        <v>115360</v>
      </c>
      <c r="R247" s="65">
        <f t="shared" si="84"/>
        <v>183966</v>
      </c>
      <c r="S247" s="65">
        <f t="shared" si="84"/>
        <v>115360</v>
      </c>
      <c r="T247" s="65">
        <f t="shared" si="84"/>
        <v>115360</v>
      </c>
      <c r="U247" s="65">
        <f t="shared" si="84"/>
        <v>115360</v>
      </c>
      <c r="V247" s="65">
        <f t="shared" si="84"/>
        <v>115360</v>
      </c>
      <c r="W247" s="65">
        <f t="shared" si="84"/>
        <v>278521</v>
      </c>
      <c r="X247" s="65">
        <f t="shared" si="84"/>
        <v>115360</v>
      </c>
      <c r="Y247" s="65">
        <f t="shared" si="84"/>
        <v>115360</v>
      </c>
      <c r="Z247" s="65">
        <f t="shared" si="84"/>
        <v>115360</v>
      </c>
      <c r="AA247" s="65">
        <f t="shared" si="84"/>
        <v>115360</v>
      </c>
      <c r="AB247" s="183">
        <f t="shared" si="84"/>
        <v>2071998</v>
      </c>
      <c r="AC247" s="65">
        <f t="shared" si="84"/>
        <v>3386201.9999999991</v>
      </c>
    </row>
    <row r="248" spans="1:29" ht="18" x14ac:dyDescent="0.35">
      <c r="A248" t="s">
        <v>79</v>
      </c>
      <c r="B248" s="10"/>
      <c r="L248" s="132"/>
      <c r="AB248" s="184"/>
    </row>
    <row r="249" spans="1:29" ht="18" x14ac:dyDescent="0.35">
      <c r="A249" s="4" t="s">
        <v>78</v>
      </c>
      <c r="B249" s="65">
        <f t="shared" ref="B249:AC249" si="85">B23</f>
        <v>0</v>
      </c>
      <c r="C249" s="65">
        <f t="shared" si="85"/>
        <v>0</v>
      </c>
      <c r="D249" s="65">
        <f t="shared" si="85"/>
        <v>0</v>
      </c>
      <c r="E249" s="65">
        <f t="shared" si="85"/>
        <v>0</v>
      </c>
      <c r="F249" s="65">
        <f t="shared" si="85"/>
        <v>0</v>
      </c>
      <c r="G249" s="65">
        <f t="shared" si="85"/>
        <v>39700</v>
      </c>
      <c r="H249" s="65">
        <f t="shared" si="85"/>
        <v>60750</v>
      </c>
      <c r="I249" s="65">
        <f t="shared" si="85"/>
        <v>64250</v>
      </c>
      <c r="J249" s="65">
        <f t="shared" si="85"/>
        <v>85250</v>
      </c>
      <c r="K249" s="65">
        <f t="shared" si="85"/>
        <v>88750</v>
      </c>
      <c r="L249" s="128">
        <f t="shared" si="85"/>
        <v>338700</v>
      </c>
      <c r="M249" s="65">
        <f t="shared" si="85"/>
        <v>93500</v>
      </c>
      <c r="N249" s="65">
        <f t="shared" si="85"/>
        <v>96000</v>
      </c>
      <c r="O249" s="65">
        <f t="shared" si="85"/>
        <v>96000</v>
      </c>
      <c r="P249" s="65">
        <f t="shared" si="85"/>
        <v>96000</v>
      </c>
      <c r="Q249" s="65">
        <f t="shared" si="85"/>
        <v>96000</v>
      </c>
      <c r="R249" s="65">
        <f t="shared" si="85"/>
        <v>96000</v>
      </c>
      <c r="S249" s="65">
        <f t="shared" si="85"/>
        <v>96000</v>
      </c>
      <c r="T249" s="65">
        <f t="shared" si="85"/>
        <v>96000</v>
      </c>
      <c r="U249" s="65">
        <f t="shared" si="85"/>
        <v>96000</v>
      </c>
      <c r="V249" s="65">
        <f t="shared" si="85"/>
        <v>96000</v>
      </c>
      <c r="W249" s="65">
        <f t="shared" si="85"/>
        <v>96000</v>
      </c>
      <c r="X249" s="65">
        <f t="shared" si="85"/>
        <v>96000</v>
      </c>
      <c r="Y249" s="65">
        <f t="shared" si="85"/>
        <v>96000</v>
      </c>
      <c r="Z249" s="65">
        <f t="shared" si="85"/>
        <v>96000</v>
      </c>
      <c r="AA249" s="65">
        <f t="shared" si="85"/>
        <v>96000</v>
      </c>
      <c r="AB249" s="183">
        <f t="shared" si="85"/>
        <v>1437500</v>
      </c>
      <c r="AC249" s="65">
        <f t="shared" si="85"/>
        <v>1776200</v>
      </c>
    </row>
    <row r="250" spans="1:29" ht="18" x14ac:dyDescent="0.35">
      <c r="A250" t="s">
        <v>81</v>
      </c>
      <c r="B250" s="10"/>
      <c r="L250" s="132"/>
      <c r="AB250" s="184"/>
    </row>
    <row r="251" spans="1:29" ht="18" x14ac:dyDescent="0.35">
      <c r="A251" s="4" t="s">
        <v>78</v>
      </c>
      <c r="B251" s="65">
        <f t="shared" ref="B251:AC251" si="86">B27</f>
        <v>0</v>
      </c>
      <c r="C251" s="65">
        <f t="shared" si="86"/>
        <v>0</v>
      </c>
      <c r="D251" s="65">
        <f t="shared" si="86"/>
        <v>0</v>
      </c>
      <c r="E251" s="65">
        <f t="shared" si="86"/>
        <v>0</v>
      </c>
      <c r="F251" s="65">
        <f t="shared" si="86"/>
        <v>0</v>
      </c>
      <c r="G251" s="65">
        <f t="shared" si="86"/>
        <v>0</v>
      </c>
      <c r="H251" s="65">
        <f t="shared" si="86"/>
        <v>0</v>
      </c>
      <c r="I251" s="65">
        <f t="shared" si="86"/>
        <v>0</v>
      </c>
      <c r="J251" s="65">
        <f t="shared" si="86"/>
        <v>0</v>
      </c>
      <c r="K251" s="65">
        <f t="shared" si="86"/>
        <v>0</v>
      </c>
      <c r="L251" s="128">
        <f t="shared" si="86"/>
        <v>0</v>
      </c>
      <c r="M251" s="65">
        <f t="shared" si="86"/>
        <v>2290</v>
      </c>
      <c r="N251" s="65">
        <f t="shared" si="86"/>
        <v>2850</v>
      </c>
      <c r="O251" s="65">
        <f t="shared" si="86"/>
        <v>5300</v>
      </c>
      <c r="P251" s="65">
        <f t="shared" si="86"/>
        <v>6840</v>
      </c>
      <c r="Q251" s="65">
        <f t="shared" si="86"/>
        <v>10090</v>
      </c>
      <c r="R251" s="65">
        <f t="shared" si="86"/>
        <v>11520</v>
      </c>
      <c r="S251" s="65">
        <f t="shared" si="86"/>
        <v>11520</v>
      </c>
      <c r="T251" s="65">
        <f t="shared" si="86"/>
        <v>14150</v>
      </c>
      <c r="U251" s="65">
        <f t="shared" si="86"/>
        <v>14640</v>
      </c>
      <c r="V251" s="65">
        <f t="shared" si="86"/>
        <v>14640</v>
      </c>
      <c r="W251" s="65">
        <f t="shared" si="86"/>
        <v>14640</v>
      </c>
      <c r="X251" s="65">
        <f t="shared" si="86"/>
        <v>14640</v>
      </c>
      <c r="Y251" s="65">
        <f t="shared" si="86"/>
        <v>14640</v>
      </c>
      <c r="Z251" s="65">
        <f t="shared" si="86"/>
        <v>14640</v>
      </c>
      <c r="AA251" s="65">
        <f t="shared" si="86"/>
        <v>14640</v>
      </c>
      <c r="AB251" s="183">
        <f t="shared" si="86"/>
        <v>167040</v>
      </c>
      <c r="AC251" s="65">
        <f t="shared" si="86"/>
        <v>167040</v>
      </c>
    </row>
    <row r="252" spans="1:29" ht="18" x14ac:dyDescent="0.35">
      <c r="B252" s="10"/>
      <c r="L252" s="132"/>
      <c r="AB252" s="184"/>
    </row>
    <row r="253" spans="1:29" ht="18" x14ac:dyDescent="0.35">
      <c r="A253" s="69" t="s">
        <v>82</v>
      </c>
      <c r="B253" s="66">
        <f>SUM(B246:B252)</f>
        <v>261178.33333333299</v>
      </c>
      <c r="C253" s="66">
        <f t="shared" ref="C253:AC253" si="87">SUM(C246:C252)</f>
        <v>165140.33333333299</v>
      </c>
      <c r="D253" s="66">
        <f t="shared" si="87"/>
        <v>177865.13333333298</v>
      </c>
      <c r="E253" s="66">
        <f t="shared" si="87"/>
        <v>71802</v>
      </c>
      <c r="F253" s="66">
        <f t="shared" si="87"/>
        <v>83148</v>
      </c>
      <c r="G253" s="66">
        <f t="shared" si="87"/>
        <v>257316</v>
      </c>
      <c r="H253" s="66">
        <f t="shared" si="87"/>
        <v>177775</v>
      </c>
      <c r="I253" s="66">
        <f t="shared" si="87"/>
        <v>185910</v>
      </c>
      <c r="J253" s="66">
        <f t="shared" si="87"/>
        <v>214820</v>
      </c>
      <c r="K253" s="66">
        <f t="shared" si="87"/>
        <v>225230</v>
      </c>
      <c r="L253" s="127">
        <f t="shared" si="87"/>
        <v>1820184.7999999991</v>
      </c>
      <c r="M253" s="66">
        <f t="shared" si="87"/>
        <v>342101</v>
      </c>
      <c r="N253" s="66">
        <f t="shared" si="87"/>
        <v>235330</v>
      </c>
      <c r="O253" s="66">
        <f t="shared" si="87"/>
        <v>237780</v>
      </c>
      <c r="P253" s="66">
        <f t="shared" si="87"/>
        <v>239320</v>
      </c>
      <c r="Q253" s="66">
        <f t="shared" si="87"/>
        <v>242570</v>
      </c>
      <c r="R253" s="66">
        <f t="shared" si="87"/>
        <v>308406</v>
      </c>
      <c r="S253" s="66">
        <f t="shared" si="87"/>
        <v>244000</v>
      </c>
      <c r="T253" s="66">
        <f t="shared" si="87"/>
        <v>246630</v>
      </c>
      <c r="U253" s="66">
        <f t="shared" si="87"/>
        <v>247120</v>
      </c>
      <c r="V253" s="66">
        <f t="shared" si="87"/>
        <v>247120</v>
      </c>
      <c r="W253" s="66">
        <f t="shared" si="87"/>
        <v>410281</v>
      </c>
      <c r="X253" s="66">
        <f t="shared" si="87"/>
        <v>247120</v>
      </c>
      <c r="Y253" s="66">
        <f t="shared" si="87"/>
        <v>247120</v>
      </c>
      <c r="Z253" s="66">
        <f t="shared" si="87"/>
        <v>247120</v>
      </c>
      <c r="AA253" s="66">
        <f t="shared" si="87"/>
        <v>247120</v>
      </c>
      <c r="AB253" s="186">
        <f t="shared" si="87"/>
        <v>3989138</v>
      </c>
      <c r="AC253" s="66">
        <f t="shared" si="87"/>
        <v>5809322.7999999989</v>
      </c>
    </row>
    <row r="254" spans="1:29" x14ac:dyDescent="0.3">
      <c r="L254" s="132"/>
      <c r="AB254" s="184"/>
    </row>
    <row r="255" spans="1:29" ht="18" x14ac:dyDescent="0.35">
      <c r="A255" s="1" t="s">
        <v>83</v>
      </c>
      <c r="L255" s="132"/>
      <c r="AB255" s="184"/>
    </row>
    <row r="256" spans="1:29" x14ac:dyDescent="0.3">
      <c r="L256" s="132"/>
      <c r="AB256" s="184"/>
    </row>
    <row r="257" spans="1:29" ht="18" x14ac:dyDescent="0.35">
      <c r="A257" s="1" t="s">
        <v>84</v>
      </c>
      <c r="L257" s="132"/>
      <c r="AB257" s="184"/>
    </row>
    <row r="258" spans="1:29" ht="18" x14ac:dyDescent="0.35">
      <c r="A258" t="s">
        <v>77</v>
      </c>
      <c r="B258" s="65">
        <f t="shared" ref="B258:AC258" si="88">B35+B41</f>
        <v>19050</v>
      </c>
      <c r="C258" s="65">
        <f t="shared" si="88"/>
        <v>20495</v>
      </c>
      <c r="D258" s="65">
        <f t="shared" si="88"/>
        <v>9740</v>
      </c>
      <c r="E258" s="65">
        <f t="shared" si="88"/>
        <v>18050</v>
      </c>
      <c r="F258" s="65">
        <f t="shared" si="88"/>
        <v>14990</v>
      </c>
      <c r="G258" s="65">
        <f t="shared" si="88"/>
        <v>16170</v>
      </c>
      <c r="H258" s="65">
        <f t="shared" si="88"/>
        <v>17751</v>
      </c>
      <c r="I258" s="65">
        <f t="shared" si="88"/>
        <v>19453</v>
      </c>
      <c r="J258" s="65">
        <f t="shared" si="88"/>
        <v>19663</v>
      </c>
      <c r="K258" s="65">
        <f t="shared" si="88"/>
        <v>20863</v>
      </c>
      <c r="L258" s="128">
        <f t="shared" si="88"/>
        <v>176225</v>
      </c>
      <c r="M258" s="65">
        <f t="shared" si="88"/>
        <v>20863</v>
      </c>
      <c r="N258" s="65">
        <f t="shared" si="88"/>
        <v>20863</v>
      </c>
      <c r="O258" s="65">
        <f t="shared" si="88"/>
        <v>20863</v>
      </c>
      <c r="P258" s="65">
        <f t="shared" si="88"/>
        <v>20863</v>
      </c>
      <c r="Q258" s="65">
        <f t="shared" si="88"/>
        <v>20863</v>
      </c>
      <c r="R258" s="65">
        <f t="shared" si="88"/>
        <v>20863</v>
      </c>
      <c r="S258" s="65">
        <f t="shared" si="88"/>
        <v>20863</v>
      </c>
      <c r="T258" s="65">
        <f t="shared" si="88"/>
        <v>20863</v>
      </c>
      <c r="U258" s="65">
        <f t="shared" si="88"/>
        <v>20863</v>
      </c>
      <c r="V258" s="65">
        <f t="shared" si="88"/>
        <v>20863</v>
      </c>
      <c r="W258" s="65">
        <f t="shared" si="88"/>
        <v>20863</v>
      </c>
      <c r="X258" s="65">
        <f t="shared" si="88"/>
        <v>20863</v>
      </c>
      <c r="Y258" s="65">
        <f t="shared" si="88"/>
        <v>24463</v>
      </c>
      <c r="Z258" s="65">
        <f t="shared" si="88"/>
        <v>20863</v>
      </c>
      <c r="AA258" s="65">
        <f t="shared" si="88"/>
        <v>20863</v>
      </c>
      <c r="AB258" s="183">
        <f t="shared" si="88"/>
        <v>316545</v>
      </c>
      <c r="AC258" s="65">
        <f t="shared" si="88"/>
        <v>492770</v>
      </c>
    </row>
    <row r="259" spans="1:29" ht="18" x14ac:dyDescent="0.35">
      <c r="A259" t="s">
        <v>79</v>
      </c>
      <c r="B259" s="65">
        <f t="shared" ref="B259:AC259" si="89">B48</f>
        <v>0</v>
      </c>
      <c r="C259" s="65">
        <f t="shared" si="89"/>
        <v>0</v>
      </c>
      <c r="D259" s="65">
        <f t="shared" si="89"/>
        <v>0</v>
      </c>
      <c r="E259" s="65">
        <f t="shared" si="89"/>
        <v>0</v>
      </c>
      <c r="F259" s="65">
        <f t="shared" si="89"/>
        <v>0</v>
      </c>
      <c r="G259" s="65">
        <f t="shared" si="89"/>
        <v>12364</v>
      </c>
      <c r="H259" s="65">
        <f t="shared" si="89"/>
        <v>16964</v>
      </c>
      <c r="I259" s="65">
        <f t="shared" si="89"/>
        <v>17789</v>
      </c>
      <c r="J259" s="65">
        <f t="shared" si="89"/>
        <v>22439</v>
      </c>
      <c r="K259" s="65">
        <f t="shared" si="89"/>
        <v>23414</v>
      </c>
      <c r="L259" s="128">
        <f t="shared" si="89"/>
        <v>92970</v>
      </c>
      <c r="M259" s="65">
        <f t="shared" si="89"/>
        <v>24364</v>
      </c>
      <c r="N259" s="65">
        <f t="shared" si="89"/>
        <v>25489</v>
      </c>
      <c r="O259" s="65">
        <f t="shared" si="89"/>
        <v>25489</v>
      </c>
      <c r="P259" s="65">
        <f t="shared" si="89"/>
        <v>25489</v>
      </c>
      <c r="Q259" s="65">
        <f t="shared" si="89"/>
        <v>25489</v>
      </c>
      <c r="R259" s="65">
        <f t="shared" si="89"/>
        <v>25489</v>
      </c>
      <c r="S259" s="65">
        <f t="shared" si="89"/>
        <v>25489</v>
      </c>
      <c r="T259" s="65">
        <f t="shared" si="89"/>
        <v>25489</v>
      </c>
      <c r="U259" s="65">
        <f t="shared" si="89"/>
        <v>25489</v>
      </c>
      <c r="V259" s="65">
        <f t="shared" si="89"/>
        <v>25489</v>
      </c>
      <c r="W259" s="65">
        <f t="shared" si="89"/>
        <v>25489</v>
      </c>
      <c r="X259" s="65">
        <f t="shared" si="89"/>
        <v>25489</v>
      </c>
      <c r="Y259" s="65">
        <f t="shared" si="89"/>
        <v>25489</v>
      </c>
      <c r="Z259" s="65">
        <f t="shared" si="89"/>
        <v>25489</v>
      </c>
      <c r="AA259" s="65">
        <f t="shared" si="89"/>
        <v>25489</v>
      </c>
      <c r="AB259" s="183">
        <f t="shared" si="89"/>
        <v>381210</v>
      </c>
      <c r="AC259" s="65">
        <f t="shared" si="89"/>
        <v>474180</v>
      </c>
    </row>
    <row r="260" spans="1:29" ht="18" x14ac:dyDescent="0.35">
      <c r="A260" t="s">
        <v>81</v>
      </c>
      <c r="B260" s="65">
        <f t="shared" ref="B260:AC260" si="90">B52</f>
        <v>0</v>
      </c>
      <c r="C260" s="65">
        <f t="shared" si="90"/>
        <v>0</v>
      </c>
      <c r="D260" s="65">
        <f t="shared" si="90"/>
        <v>0</v>
      </c>
      <c r="E260" s="65">
        <f t="shared" si="90"/>
        <v>0</v>
      </c>
      <c r="F260" s="65">
        <f t="shared" si="90"/>
        <v>0</v>
      </c>
      <c r="G260" s="65">
        <f t="shared" si="90"/>
        <v>0</v>
      </c>
      <c r="H260" s="65">
        <f t="shared" si="90"/>
        <v>0</v>
      </c>
      <c r="I260" s="65">
        <f t="shared" si="90"/>
        <v>0</v>
      </c>
      <c r="J260" s="65">
        <f t="shared" si="90"/>
        <v>0</v>
      </c>
      <c r="K260" s="65">
        <f t="shared" si="90"/>
        <v>0</v>
      </c>
      <c r="L260" s="128">
        <f t="shared" si="90"/>
        <v>0</v>
      </c>
      <c r="M260" s="65">
        <f t="shared" si="90"/>
        <v>464</v>
      </c>
      <c r="N260" s="65">
        <f t="shared" si="90"/>
        <v>295</v>
      </c>
      <c r="O260" s="65">
        <f t="shared" si="90"/>
        <v>540</v>
      </c>
      <c r="P260" s="65">
        <f t="shared" si="90"/>
        <v>694</v>
      </c>
      <c r="Q260" s="65">
        <f t="shared" si="90"/>
        <v>1469</v>
      </c>
      <c r="R260" s="65">
        <f t="shared" si="90"/>
        <v>1162</v>
      </c>
      <c r="S260" s="65">
        <f t="shared" si="90"/>
        <v>1162</v>
      </c>
      <c r="T260" s="65">
        <f t="shared" si="90"/>
        <v>1425</v>
      </c>
      <c r="U260" s="65">
        <f t="shared" si="90"/>
        <v>1474</v>
      </c>
      <c r="V260" s="65">
        <f t="shared" si="90"/>
        <v>1474</v>
      </c>
      <c r="W260" s="65">
        <f t="shared" si="90"/>
        <v>1474</v>
      </c>
      <c r="X260" s="65">
        <f t="shared" si="90"/>
        <v>1474</v>
      </c>
      <c r="Y260" s="65">
        <f t="shared" si="90"/>
        <v>1474</v>
      </c>
      <c r="Z260" s="65">
        <f t="shared" si="90"/>
        <v>1474</v>
      </c>
      <c r="AA260" s="65">
        <f t="shared" si="90"/>
        <v>1474</v>
      </c>
      <c r="AB260" s="183">
        <f t="shared" si="90"/>
        <v>17529</v>
      </c>
      <c r="AC260" s="65">
        <f t="shared" si="90"/>
        <v>17529</v>
      </c>
    </row>
    <row r="261" spans="1:29" ht="18" x14ac:dyDescent="0.35">
      <c r="B261" s="10"/>
      <c r="C261" s="10"/>
      <c r="D261" s="10"/>
      <c r="E261" s="10"/>
      <c r="F261" s="10"/>
      <c r="G261" s="10"/>
      <c r="H261" s="10"/>
      <c r="I261" s="10"/>
      <c r="J261" s="10"/>
      <c r="K261" s="10"/>
      <c r="L261" s="138"/>
      <c r="M261" s="10"/>
      <c r="N261" s="10"/>
      <c r="O261" s="10"/>
      <c r="P261" s="10"/>
      <c r="Q261" s="10"/>
      <c r="R261" s="10"/>
      <c r="S261" s="10"/>
      <c r="T261" s="10"/>
      <c r="U261" s="10"/>
      <c r="V261" s="10"/>
      <c r="W261" s="10"/>
      <c r="X261" s="10"/>
      <c r="Y261" s="10"/>
      <c r="Z261" s="10"/>
      <c r="AA261" s="10"/>
      <c r="AB261" s="185"/>
      <c r="AC261" s="10"/>
    </row>
    <row r="262" spans="1:29" ht="18" x14ac:dyDescent="0.35">
      <c r="A262" s="69" t="s">
        <v>85</v>
      </c>
      <c r="B262" s="66">
        <f>SUM(B258:B261)</f>
        <v>19050</v>
      </c>
      <c r="C262" s="66">
        <f t="shared" ref="C262:AC262" si="91">SUM(C258:C261)</f>
        <v>20495</v>
      </c>
      <c r="D262" s="66">
        <f t="shared" si="91"/>
        <v>9740</v>
      </c>
      <c r="E262" s="66">
        <f t="shared" si="91"/>
        <v>18050</v>
      </c>
      <c r="F262" s="66">
        <f t="shared" si="91"/>
        <v>14990</v>
      </c>
      <c r="G262" s="66">
        <f t="shared" si="91"/>
        <v>28534</v>
      </c>
      <c r="H262" s="66">
        <f t="shared" si="91"/>
        <v>34715</v>
      </c>
      <c r="I262" s="66">
        <f t="shared" si="91"/>
        <v>37242</v>
      </c>
      <c r="J262" s="66">
        <f t="shared" si="91"/>
        <v>42102</v>
      </c>
      <c r="K262" s="66">
        <f t="shared" si="91"/>
        <v>44277</v>
      </c>
      <c r="L262" s="127">
        <f t="shared" si="91"/>
        <v>269195</v>
      </c>
      <c r="M262" s="66">
        <f t="shared" si="91"/>
        <v>45691</v>
      </c>
      <c r="N262" s="66">
        <f t="shared" si="91"/>
        <v>46647</v>
      </c>
      <c r="O262" s="66">
        <f t="shared" si="91"/>
        <v>46892</v>
      </c>
      <c r="P262" s="66">
        <f t="shared" si="91"/>
        <v>47046</v>
      </c>
      <c r="Q262" s="66">
        <f t="shared" si="91"/>
        <v>47821</v>
      </c>
      <c r="R262" s="66">
        <f t="shared" si="91"/>
        <v>47514</v>
      </c>
      <c r="S262" s="66">
        <f t="shared" si="91"/>
        <v>47514</v>
      </c>
      <c r="T262" s="66">
        <f t="shared" si="91"/>
        <v>47777</v>
      </c>
      <c r="U262" s="66">
        <f t="shared" si="91"/>
        <v>47826</v>
      </c>
      <c r="V262" s="66">
        <f t="shared" si="91"/>
        <v>47826</v>
      </c>
      <c r="W262" s="66">
        <f t="shared" si="91"/>
        <v>47826</v>
      </c>
      <c r="X262" s="66">
        <f t="shared" si="91"/>
        <v>47826</v>
      </c>
      <c r="Y262" s="66">
        <f t="shared" si="91"/>
        <v>51426</v>
      </c>
      <c r="Z262" s="66">
        <f t="shared" si="91"/>
        <v>47826</v>
      </c>
      <c r="AA262" s="66">
        <f t="shared" si="91"/>
        <v>47826</v>
      </c>
      <c r="AB262" s="186">
        <f t="shared" si="91"/>
        <v>715284</v>
      </c>
      <c r="AC262" s="66">
        <f t="shared" si="91"/>
        <v>984479</v>
      </c>
    </row>
    <row r="263" spans="1:29" ht="18" x14ac:dyDescent="0.35">
      <c r="C263" s="10"/>
      <c r="D263" s="10"/>
      <c r="E263" s="10"/>
      <c r="F263" s="10"/>
      <c r="G263" s="10"/>
      <c r="H263" s="10"/>
      <c r="I263" s="10"/>
      <c r="J263" s="10"/>
      <c r="K263" s="10"/>
      <c r="L263" s="138"/>
      <c r="M263" s="10"/>
      <c r="N263" s="10"/>
      <c r="O263" s="10"/>
      <c r="P263" s="10"/>
      <c r="Q263" s="10"/>
      <c r="R263" s="10"/>
      <c r="S263" s="10"/>
      <c r="T263" s="10"/>
      <c r="U263" s="10"/>
      <c r="V263" s="10"/>
      <c r="W263" s="10"/>
      <c r="X263" s="10"/>
      <c r="Y263" s="10"/>
      <c r="Z263" s="10"/>
      <c r="AA263" s="10"/>
      <c r="AB263" s="185"/>
      <c r="AC263" s="10"/>
    </row>
    <row r="264" spans="1:29" ht="18" x14ac:dyDescent="0.35">
      <c r="A264" s="70" t="s">
        <v>86</v>
      </c>
      <c r="B264" s="65">
        <f t="shared" ref="B264:AC264" si="92">B54</f>
        <v>19050</v>
      </c>
      <c r="C264" s="65">
        <f t="shared" si="92"/>
        <v>20495</v>
      </c>
      <c r="D264" s="65">
        <f t="shared" si="92"/>
        <v>9740</v>
      </c>
      <c r="E264" s="65">
        <f t="shared" si="92"/>
        <v>18050</v>
      </c>
      <c r="F264" s="65">
        <f t="shared" si="92"/>
        <v>14990</v>
      </c>
      <c r="G264" s="65">
        <f t="shared" si="92"/>
        <v>28534</v>
      </c>
      <c r="H264" s="65">
        <f t="shared" si="92"/>
        <v>34715</v>
      </c>
      <c r="I264" s="65">
        <f t="shared" si="92"/>
        <v>37242</v>
      </c>
      <c r="J264" s="65">
        <f t="shared" si="92"/>
        <v>42102</v>
      </c>
      <c r="K264" s="65">
        <f t="shared" si="92"/>
        <v>44277</v>
      </c>
      <c r="L264" s="128">
        <f t="shared" si="92"/>
        <v>269195</v>
      </c>
      <c r="M264" s="65">
        <f t="shared" si="92"/>
        <v>45691</v>
      </c>
      <c r="N264" s="65">
        <f t="shared" si="92"/>
        <v>46647</v>
      </c>
      <c r="O264" s="65">
        <f t="shared" si="92"/>
        <v>46892</v>
      </c>
      <c r="P264" s="65">
        <f t="shared" si="92"/>
        <v>47046</v>
      </c>
      <c r="Q264" s="65">
        <f t="shared" si="92"/>
        <v>47821</v>
      </c>
      <c r="R264" s="65">
        <f t="shared" si="92"/>
        <v>47514</v>
      </c>
      <c r="S264" s="65">
        <f t="shared" si="92"/>
        <v>47514</v>
      </c>
      <c r="T264" s="65">
        <f t="shared" si="92"/>
        <v>47777</v>
      </c>
      <c r="U264" s="65">
        <f t="shared" si="92"/>
        <v>47826</v>
      </c>
      <c r="V264" s="65">
        <f t="shared" si="92"/>
        <v>47826</v>
      </c>
      <c r="W264" s="65">
        <f t="shared" si="92"/>
        <v>47826</v>
      </c>
      <c r="X264" s="65">
        <f t="shared" si="92"/>
        <v>47826</v>
      </c>
      <c r="Y264" s="65">
        <f t="shared" si="92"/>
        <v>51426</v>
      </c>
      <c r="Z264" s="65">
        <f t="shared" si="92"/>
        <v>47826</v>
      </c>
      <c r="AA264" s="65">
        <f t="shared" si="92"/>
        <v>47826</v>
      </c>
      <c r="AB264" s="183">
        <f t="shared" si="92"/>
        <v>715284</v>
      </c>
      <c r="AC264" s="65">
        <f t="shared" si="92"/>
        <v>984479</v>
      </c>
    </row>
    <row r="265" spans="1:29" x14ac:dyDescent="0.3">
      <c r="L265" s="132"/>
      <c r="AB265" s="184"/>
    </row>
    <row r="266" spans="1:29" ht="18" x14ac:dyDescent="0.35">
      <c r="A266" s="1" t="s">
        <v>87</v>
      </c>
      <c r="B266" s="66">
        <f t="shared" ref="B266:AC266" si="93">B80</f>
        <v>242128.33333333299</v>
      </c>
      <c r="C266" s="66">
        <f t="shared" si="93"/>
        <v>144645.33333333299</v>
      </c>
      <c r="D266" s="66">
        <f t="shared" si="93"/>
        <v>168125.13333333298</v>
      </c>
      <c r="E266" s="66">
        <f t="shared" si="93"/>
        <v>53752</v>
      </c>
      <c r="F266" s="66">
        <f t="shared" si="93"/>
        <v>68158</v>
      </c>
      <c r="G266" s="66">
        <f t="shared" si="93"/>
        <v>228782</v>
      </c>
      <c r="H266" s="66">
        <f t="shared" si="93"/>
        <v>143060</v>
      </c>
      <c r="I266" s="66">
        <f t="shared" si="93"/>
        <v>148668</v>
      </c>
      <c r="J266" s="66">
        <f t="shared" si="93"/>
        <v>172718</v>
      </c>
      <c r="K266" s="66">
        <f t="shared" si="93"/>
        <v>180953</v>
      </c>
      <c r="L266" s="127">
        <f t="shared" si="93"/>
        <v>1550989.7999999989</v>
      </c>
      <c r="M266" s="66">
        <f t="shared" si="93"/>
        <v>296410</v>
      </c>
      <c r="N266" s="66">
        <f t="shared" si="93"/>
        <v>188683</v>
      </c>
      <c r="O266" s="66">
        <f t="shared" si="93"/>
        <v>190888</v>
      </c>
      <c r="P266" s="66">
        <f t="shared" si="93"/>
        <v>155579</v>
      </c>
      <c r="Q266" s="66">
        <f t="shared" si="93"/>
        <v>194749</v>
      </c>
      <c r="R266" s="66">
        <f t="shared" si="93"/>
        <v>204599</v>
      </c>
      <c r="S266" s="66">
        <f t="shared" si="93"/>
        <v>220589</v>
      </c>
      <c r="T266" s="66">
        <f t="shared" si="93"/>
        <v>198853</v>
      </c>
      <c r="U266" s="66">
        <f t="shared" si="93"/>
        <v>199294</v>
      </c>
      <c r="V266" s="66">
        <f t="shared" si="93"/>
        <v>198989</v>
      </c>
      <c r="W266" s="66">
        <f t="shared" si="93"/>
        <v>344505</v>
      </c>
      <c r="X266" s="66">
        <f t="shared" si="93"/>
        <v>162904</v>
      </c>
      <c r="Y266" s="66">
        <f t="shared" si="93"/>
        <v>213644</v>
      </c>
      <c r="Z266" s="66">
        <f t="shared" si="93"/>
        <v>199294</v>
      </c>
      <c r="AA266" s="66">
        <f t="shared" si="93"/>
        <v>199294</v>
      </c>
      <c r="AB266" s="186">
        <f t="shared" si="93"/>
        <v>3168274</v>
      </c>
      <c r="AC266" s="66">
        <f t="shared" si="93"/>
        <v>4719263.7999999989</v>
      </c>
    </row>
    <row r="267" spans="1:29" x14ac:dyDescent="0.3">
      <c r="B267" s="16"/>
      <c r="L267" s="132"/>
      <c r="AB267" s="184"/>
    </row>
    <row r="268" spans="1:29" ht="18" x14ac:dyDescent="0.35">
      <c r="A268" s="1" t="s">
        <v>158</v>
      </c>
      <c r="B268" s="16"/>
      <c r="L268" s="132"/>
      <c r="AB268" s="184"/>
    </row>
    <row r="269" spans="1:29" s="10" customFormat="1" ht="18" x14ac:dyDescent="0.35">
      <c r="A269" s="11" t="s">
        <v>77</v>
      </c>
      <c r="B269" s="65">
        <f t="shared" ref="B269:AC269" si="94">B131</f>
        <v>356307.6</v>
      </c>
      <c r="C269" s="65">
        <f t="shared" si="94"/>
        <v>357666.57</v>
      </c>
      <c r="D269" s="65">
        <f t="shared" si="94"/>
        <v>195580</v>
      </c>
      <c r="E269" s="65">
        <f t="shared" si="94"/>
        <v>196680</v>
      </c>
      <c r="F269" s="65">
        <f t="shared" si="94"/>
        <v>201780</v>
      </c>
      <c r="G269" s="65">
        <f t="shared" si="94"/>
        <v>199450</v>
      </c>
      <c r="H269" s="65">
        <f t="shared" si="94"/>
        <v>201280</v>
      </c>
      <c r="I269" s="65">
        <f t="shared" si="94"/>
        <v>196680</v>
      </c>
      <c r="J269" s="65">
        <f t="shared" si="94"/>
        <v>195780</v>
      </c>
      <c r="K269" s="65">
        <f t="shared" si="94"/>
        <v>201680</v>
      </c>
      <c r="L269" s="128">
        <f t="shared" si="94"/>
        <v>2302884.17</v>
      </c>
      <c r="M269" s="65">
        <f t="shared" si="94"/>
        <v>239215</v>
      </c>
      <c r="N269" s="65">
        <f t="shared" si="94"/>
        <v>198180</v>
      </c>
      <c r="O269" s="65">
        <f t="shared" si="94"/>
        <v>194230</v>
      </c>
      <c r="P269" s="65">
        <f t="shared" si="94"/>
        <v>194180</v>
      </c>
      <c r="Q269" s="65">
        <f t="shared" si="94"/>
        <v>199230</v>
      </c>
      <c r="R269" s="65">
        <f t="shared" si="94"/>
        <v>186280</v>
      </c>
      <c r="S269" s="65">
        <f t="shared" si="94"/>
        <v>196730</v>
      </c>
      <c r="T269" s="65">
        <f t="shared" si="94"/>
        <v>195680</v>
      </c>
      <c r="U269" s="65">
        <f t="shared" si="94"/>
        <v>193230</v>
      </c>
      <c r="V269" s="65">
        <f t="shared" si="94"/>
        <v>195680</v>
      </c>
      <c r="W269" s="65">
        <f t="shared" si="94"/>
        <v>238615</v>
      </c>
      <c r="X269" s="65">
        <f t="shared" si="94"/>
        <v>188180</v>
      </c>
      <c r="Y269" s="65">
        <f t="shared" si="94"/>
        <v>197230</v>
      </c>
      <c r="Z269" s="65">
        <f t="shared" si="94"/>
        <v>196180</v>
      </c>
      <c r="AA269" s="65">
        <f t="shared" si="94"/>
        <v>197230</v>
      </c>
      <c r="AB269" s="183">
        <f t="shared" si="94"/>
        <v>3010070</v>
      </c>
      <c r="AC269" s="65">
        <f t="shared" si="94"/>
        <v>5312954.17</v>
      </c>
    </row>
    <row r="270" spans="1:29" s="10" customFormat="1" ht="18" x14ac:dyDescent="0.35">
      <c r="A270" s="11" t="s">
        <v>79</v>
      </c>
      <c r="B270" s="65">
        <f t="shared" ref="B270:AC270" si="95">B148</f>
        <v>57625</v>
      </c>
      <c r="C270" s="65">
        <f t="shared" si="95"/>
        <v>126989.5</v>
      </c>
      <c r="D270" s="65">
        <f t="shared" si="95"/>
        <v>110520.8</v>
      </c>
      <c r="E270" s="65">
        <f t="shared" si="95"/>
        <v>134660</v>
      </c>
      <c r="F270" s="65">
        <f t="shared" si="95"/>
        <v>455060</v>
      </c>
      <c r="G270" s="65">
        <f t="shared" si="95"/>
        <v>134130.79999999999</v>
      </c>
      <c r="H270" s="65">
        <f t="shared" si="95"/>
        <v>131870</v>
      </c>
      <c r="I270" s="65">
        <f t="shared" si="95"/>
        <v>131870</v>
      </c>
      <c r="J270" s="65">
        <f t="shared" si="95"/>
        <v>131670</v>
      </c>
      <c r="K270" s="65">
        <f t="shared" si="95"/>
        <v>131670</v>
      </c>
      <c r="L270" s="128">
        <f t="shared" si="95"/>
        <v>1546066.1</v>
      </c>
      <c r="M270" s="65">
        <f t="shared" si="95"/>
        <v>195550</v>
      </c>
      <c r="N270" s="65">
        <f t="shared" si="95"/>
        <v>195550</v>
      </c>
      <c r="O270" s="65">
        <f t="shared" si="95"/>
        <v>197070</v>
      </c>
      <c r="P270" s="65">
        <f t="shared" si="95"/>
        <v>196270</v>
      </c>
      <c r="Q270" s="65">
        <f t="shared" si="95"/>
        <v>196270</v>
      </c>
      <c r="R270" s="65">
        <f t="shared" si="95"/>
        <v>198490</v>
      </c>
      <c r="S270" s="65">
        <f t="shared" si="95"/>
        <v>196990</v>
      </c>
      <c r="T270" s="65">
        <f t="shared" si="95"/>
        <v>196990</v>
      </c>
      <c r="U270" s="65">
        <f t="shared" si="95"/>
        <v>196990</v>
      </c>
      <c r="V270" s="65">
        <f t="shared" si="95"/>
        <v>196990</v>
      </c>
      <c r="W270" s="65">
        <f t="shared" si="95"/>
        <v>196990</v>
      </c>
      <c r="X270" s="65">
        <f t="shared" si="95"/>
        <v>195550</v>
      </c>
      <c r="Y270" s="65">
        <f t="shared" si="95"/>
        <v>195550</v>
      </c>
      <c r="Z270" s="65">
        <f t="shared" si="95"/>
        <v>195550</v>
      </c>
      <c r="AA270" s="65">
        <f t="shared" si="95"/>
        <v>196990</v>
      </c>
      <c r="AB270" s="183">
        <f t="shared" si="95"/>
        <v>2947790</v>
      </c>
      <c r="AC270" s="65">
        <f t="shared" si="95"/>
        <v>4916356.0999999996</v>
      </c>
    </row>
    <row r="271" spans="1:29" s="10" customFormat="1" ht="18" x14ac:dyDescent="0.35">
      <c r="A271" s="11" t="s">
        <v>81</v>
      </c>
      <c r="B271" s="65">
        <f t="shared" ref="B271:AC271" si="96">B156</f>
        <v>60000</v>
      </c>
      <c r="C271" s="65">
        <f t="shared" si="96"/>
        <v>60000</v>
      </c>
      <c r="D271" s="65">
        <f t="shared" si="96"/>
        <v>60000</v>
      </c>
      <c r="E271" s="65">
        <f t="shared" si="96"/>
        <v>60000</v>
      </c>
      <c r="F271" s="65">
        <f t="shared" si="96"/>
        <v>60000</v>
      </c>
      <c r="G271" s="65">
        <f t="shared" si="96"/>
        <v>60000</v>
      </c>
      <c r="H271" s="65">
        <f t="shared" si="96"/>
        <v>60000</v>
      </c>
      <c r="I271" s="65">
        <f t="shared" si="96"/>
        <v>60000</v>
      </c>
      <c r="J271" s="65">
        <f t="shared" si="96"/>
        <v>60000</v>
      </c>
      <c r="K271" s="65">
        <f t="shared" si="96"/>
        <v>60000</v>
      </c>
      <c r="L271" s="128">
        <f t="shared" si="96"/>
        <v>600000</v>
      </c>
      <c r="M271" s="65">
        <f t="shared" si="96"/>
        <v>60000</v>
      </c>
      <c r="N271" s="65">
        <f t="shared" si="96"/>
        <v>60000</v>
      </c>
      <c r="O271" s="65">
        <f t="shared" si="96"/>
        <v>60000</v>
      </c>
      <c r="P271" s="65">
        <f t="shared" si="96"/>
        <v>60000</v>
      </c>
      <c r="Q271" s="65">
        <f t="shared" si="96"/>
        <v>60000</v>
      </c>
      <c r="R271" s="65">
        <f t="shared" si="96"/>
        <v>60000</v>
      </c>
      <c r="S271" s="65">
        <f t="shared" si="96"/>
        <v>60000</v>
      </c>
      <c r="T271" s="65">
        <f t="shared" si="96"/>
        <v>60000</v>
      </c>
      <c r="U271" s="65">
        <f t="shared" si="96"/>
        <v>60000</v>
      </c>
      <c r="V271" s="65">
        <f t="shared" si="96"/>
        <v>60000</v>
      </c>
      <c r="W271" s="65">
        <f t="shared" si="96"/>
        <v>60000</v>
      </c>
      <c r="X271" s="65">
        <f t="shared" si="96"/>
        <v>60000</v>
      </c>
      <c r="Y271" s="65">
        <f t="shared" si="96"/>
        <v>60000</v>
      </c>
      <c r="Z271" s="65">
        <f t="shared" si="96"/>
        <v>60000</v>
      </c>
      <c r="AA271" s="65">
        <f t="shared" si="96"/>
        <v>60000</v>
      </c>
      <c r="AB271" s="183">
        <f t="shared" si="96"/>
        <v>900000</v>
      </c>
      <c r="AC271" s="65">
        <f t="shared" si="96"/>
        <v>1500000</v>
      </c>
    </row>
    <row r="272" spans="1:29" x14ac:dyDescent="0.3">
      <c r="L272" s="132"/>
    </row>
    <row r="273" spans="1:29" s="10" customFormat="1" ht="36" x14ac:dyDescent="0.35">
      <c r="A273" s="67" t="s">
        <v>166</v>
      </c>
      <c r="B273" s="71">
        <f>B266-SUM(B269:B271)</f>
        <v>-231804.26666666698</v>
      </c>
      <c r="C273" s="71">
        <f>C266-SUM(C269:C271)</f>
        <v>-400010.73666666704</v>
      </c>
      <c r="D273" s="71">
        <f t="shared" ref="D273:AC273" si="97">D266-SUM(D269:D271)</f>
        <v>-197975.66666666701</v>
      </c>
      <c r="E273" s="71">
        <f t="shared" si="97"/>
        <v>-337588</v>
      </c>
      <c r="F273" s="71">
        <f t="shared" si="97"/>
        <v>-648682</v>
      </c>
      <c r="G273" s="71">
        <f t="shared" si="97"/>
        <v>-164798.79999999999</v>
      </c>
      <c r="H273" s="71">
        <f t="shared" si="97"/>
        <v>-250090</v>
      </c>
      <c r="I273" s="71">
        <f t="shared" si="97"/>
        <v>-239882</v>
      </c>
      <c r="J273" s="71">
        <f t="shared" si="97"/>
        <v>-214732</v>
      </c>
      <c r="K273" s="71">
        <f t="shared" si="97"/>
        <v>-212397</v>
      </c>
      <c r="L273" s="134">
        <f t="shared" si="97"/>
        <v>-2897960.4700000007</v>
      </c>
      <c r="M273" s="71">
        <f t="shared" si="97"/>
        <v>-198355</v>
      </c>
      <c r="N273" s="71">
        <f t="shared" si="97"/>
        <v>-265047</v>
      </c>
      <c r="O273" s="71">
        <f t="shared" si="97"/>
        <v>-260412</v>
      </c>
      <c r="P273" s="71">
        <f t="shared" si="97"/>
        <v>-294871</v>
      </c>
      <c r="Q273" s="71">
        <f t="shared" si="97"/>
        <v>-260751</v>
      </c>
      <c r="R273" s="71">
        <f t="shared" si="97"/>
        <v>-240171</v>
      </c>
      <c r="S273" s="71">
        <f t="shared" si="97"/>
        <v>-233131</v>
      </c>
      <c r="T273" s="71">
        <f t="shared" si="97"/>
        <v>-253817</v>
      </c>
      <c r="U273" s="71">
        <f t="shared" si="97"/>
        <v>-250926</v>
      </c>
      <c r="V273" s="71">
        <f t="shared" si="97"/>
        <v>-253681</v>
      </c>
      <c r="W273" s="71">
        <f t="shared" si="97"/>
        <v>-151100</v>
      </c>
      <c r="X273" s="71">
        <f t="shared" si="97"/>
        <v>-280826</v>
      </c>
      <c r="Y273" s="71">
        <f t="shared" si="97"/>
        <v>-239136</v>
      </c>
      <c r="Z273" s="71">
        <f t="shared" si="97"/>
        <v>-252436</v>
      </c>
      <c r="AA273" s="71">
        <f t="shared" si="97"/>
        <v>-254926</v>
      </c>
      <c r="AB273" s="71">
        <f t="shared" si="97"/>
        <v>-3689586</v>
      </c>
      <c r="AC273" s="71">
        <f t="shared" si="97"/>
        <v>-7010046.4700000007</v>
      </c>
    </row>
    <row r="274" spans="1:29" x14ac:dyDescent="0.3">
      <c r="L274" s="132"/>
    </row>
    <row r="275" spans="1:29" ht="18" x14ac:dyDescent="0.35">
      <c r="A275" s="1" t="s">
        <v>88</v>
      </c>
      <c r="L275" s="132"/>
    </row>
    <row r="276" spans="1:29" ht="18" x14ac:dyDescent="0.35">
      <c r="A276" s="11" t="s">
        <v>89</v>
      </c>
      <c r="L276" s="132"/>
    </row>
    <row r="277" spans="1:29" ht="18" x14ac:dyDescent="0.35">
      <c r="A277" s="72" t="s">
        <v>77</v>
      </c>
      <c r="B277" s="16">
        <f>B115</f>
        <v>114000</v>
      </c>
      <c r="C277" s="16">
        <f t="shared" ref="C277:AC277" si="98">C115</f>
        <v>114000</v>
      </c>
      <c r="D277" s="16">
        <f t="shared" si="98"/>
        <v>114000</v>
      </c>
      <c r="E277" s="16">
        <f t="shared" si="98"/>
        <v>114000</v>
      </c>
      <c r="F277" s="16">
        <f t="shared" si="98"/>
        <v>114000</v>
      </c>
      <c r="G277" s="16">
        <f t="shared" si="98"/>
        <v>114000</v>
      </c>
      <c r="H277" s="16">
        <f t="shared" si="98"/>
        <v>114000</v>
      </c>
      <c r="I277" s="16">
        <f t="shared" si="98"/>
        <v>114000</v>
      </c>
      <c r="J277" s="16">
        <f t="shared" si="98"/>
        <v>114000</v>
      </c>
      <c r="K277" s="16">
        <f t="shared" si="98"/>
        <v>114000</v>
      </c>
      <c r="L277" s="133">
        <f t="shared" si="98"/>
        <v>1140000</v>
      </c>
      <c r="M277" s="16">
        <f t="shared" si="98"/>
        <v>114000</v>
      </c>
      <c r="N277" s="16">
        <f t="shared" si="98"/>
        <v>114000</v>
      </c>
      <c r="O277" s="16">
        <f t="shared" si="98"/>
        <v>114000</v>
      </c>
      <c r="P277" s="16">
        <f t="shared" si="98"/>
        <v>114000</v>
      </c>
      <c r="Q277" s="16">
        <f t="shared" si="98"/>
        <v>114000</v>
      </c>
      <c r="R277" s="16">
        <f t="shared" si="98"/>
        <v>114000</v>
      </c>
      <c r="S277" s="16">
        <f t="shared" si="98"/>
        <v>114000</v>
      </c>
      <c r="T277" s="16">
        <f t="shared" si="98"/>
        <v>114000</v>
      </c>
      <c r="U277" s="16">
        <f t="shared" si="98"/>
        <v>114000</v>
      </c>
      <c r="V277" s="16">
        <f t="shared" si="98"/>
        <v>114000</v>
      </c>
      <c r="W277" s="16">
        <f t="shared" si="98"/>
        <v>114000</v>
      </c>
      <c r="X277" s="16">
        <f t="shared" si="98"/>
        <v>114000</v>
      </c>
      <c r="Y277" s="16">
        <f t="shared" si="98"/>
        <v>114000</v>
      </c>
      <c r="Z277" s="16">
        <f t="shared" si="98"/>
        <v>114000</v>
      </c>
      <c r="AA277" s="16">
        <f t="shared" si="98"/>
        <v>114000</v>
      </c>
      <c r="AB277" s="16">
        <f t="shared" si="98"/>
        <v>1710000</v>
      </c>
      <c r="AC277" s="16">
        <f t="shared" si="98"/>
        <v>2850000</v>
      </c>
    </row>
    <row r="278" spans="1:29" ht="18" x14ac:dyDescent="0.35">
      <c r="A278" s="72" t="s">
        <v>79</v>
      </c>
      <c r="B278" s="16">
        <f>B137</f>
        <v>0</v>
      </c>
      <c r="C278" s="16">
        <f>C137</f>
        <v>0</v>
      </c>
      <c r="D278" s="16">
        <f>D137</f>
        <v>32500</v>
      </c>
      <c r="E278" s="16">
        <f t="shared" ref="E278:K278" si="99">E137</f>
        <v>32500</v>
      </c>
      <c r="F278" s="16">
        <f t="shared" si="99"/>
        <v>32500</v>
      </c>
      <c r="G278" s="16">
        <f t="shared" si="99"/>
        <v>65000</v>
      </c>
      <c r="H278" s="16">
        <f t="shared" si="99"/>
        <v>65000</v>
      </c>
      <c r="I278" s="16">
        <f t="shared" si="99"/>
        <v>65000</v>
      </c>
      <c r="J278" s="16">
        <f t="shared" si="99"/>
        <v>65000</v>
      </c>
      <c r="K278" s="16">
        <f t="shared" si="99"/>
        <v>65000</v>
      </c>
      <c r="L278" s="133">
        <f>L137</f>
        <v>422500</v>
      </c>
      <c r="M278" s="16">
        <f>M137</f>
        <v>65000</v>
      </c>
      <c r="N278" s="16">
        <f t="shared" ref="N278:AB278" si="100">N137</f>
        <v>65000</v>
      </c>
      <c r="O278" s="16">
        <f t="shared" si="100"/>
        <v>65000</v>
      </c>
      <c r="P278" s="16">
        <f t="shared" si="100"/>
        <v>65000</v>
      </c>
      <c r="Q278" s="16">
        <f t="shared" si="100"/>
        <v>65000</v>
      </c>
      <c r="R278" s="16">
        <f t="shared" si="100"/>
        <v>65000</v>
      </c>
      <c r="S278" s="16">
        <f t="shared" si="100"/>
        <v>65000</v>
      </c>
      <c r="T278" s="16">
        <f t="shared" si="100"/>
        <v>65000</v>
      </c>
      <c r="U278" s="16">
        <f t="shared" si="100"/>
        <v>65000</v>
      </c>
      <c r="V278" s="16">
        <f t="shared" si="100"/>
        <v>65000</v>
      </c>
      <c r="W278" s="16">
        <f t="shared" si="100"/>
        <v>65000</v>
      </c>
      <c r="X278" s="16">
        <f t="shared" si="100"/>
        <v>65000</v>
      </c>
      <c r="Y278" s="16">
        <f t="shared" si="100"/>
        <v>65000</v>
      </c>
      <c r="Z278" s="16">
        <f t="shared" si="100"/>
        <v>65000</v>
      </c>
      <c r="AA278" s="16">
        <f t="shared" si="100"/>
        <v>65000</v>
      </c>
      <c r="AB278" s="16">
        <f t="shared" si="100"/>
        <v>975000</v>
      </c>
      <c r="AC278" s="16">
        <f>AC137</f>
        <v>1397500</v>
      </c>
    </row>
    <row r="279" spans="1:29" x14ac:dyDescent="0.3">
      <c r="L279" s="132"/>
      <c r="AC279" s="16"/>
    </row>
    <row r="280" spans="1:29" ht="18" x14ac:dyDescent="0.35">
      <c r="A280" s="11" t="s">
        <v>90</v>
      </c>
      <c r="L280" s="132"/>
      <c r="AC280" s="16"/>
    </row>
    <row r="281" spans="1:29" ht="18" x14ac:dyDescent="0.35">
      <c r="A281" s="72" t="s">
        <v>161</v>
      </c>
      <c r="L281" s="132"/>
      <c r="AC281" s="16"/>
    </row>
    <row r="282" spans="1:29" s="168" customFormat="1" ht="15.6" x14ac:dyDescent="0.3">
      <c r="A282" s="169" t="s">
        <v>163</v>
      </c>
      <c r="L282" s="174"/>
      <c r="AC282" s="16"/>
    </row>
    <row r="283" spans="1:29" s="168" customFormat="1" ht="15.6" x14ac:dyDescent="0.3">
      <c r="A283" s="169" t="s">
        <v>160</v>
      </c>
      <c r="B283" s="175">
        <f>B88</f>
        <v>22912</v>
      </c>
      <c r="C283" s="175">
        <f t="shared" ref="C283:K283" si="101">C88</f>
        <v>32172</v>
      </c>
      <c r="D283" s="175">
        <f t="shared" si="101"/>
        <v>0</v>
      </c>
      <c r="E283" s="175">
        <f t="shared" si="101"/>
        <v>0</v>
      </c>
      <c r="F283" s="168">
        <v>0</v>
      </c>
      <c r="G283" s="175">
        <f t="shared" si="101"/>
        <v>0</v>
      </c>
      <c r="H283" s="175">
        <f t="shared" si="101"/>
        <v>0</v>
      </c>
      <c r="I283" s="175">
        <f t="shared" si="101"/>
        <v>0</v>
      </c>
      <c r="J283" s="175">
        <f t="shared" si="101"/>
        <v>0</v>
      </c>
      <c r="K283" s="175">
        <f t="shared" si="101"/>
        <v>0</v>
      </c>
      <c r="L283" s="176">
        <f>SUM(B283:K283)</f>
        <v>55084</v>
      </c>
      <c r="AC283" s="16">
        <f>L283+AB283</f>
        <v>55084</v>
      </c>
    </row>
    <row r="284" spans="1:29" ht="18" x14ac:dyDescent="0.35">
      <c r="A284" s="72" t="s">
        <v>79</v>
      </c>
      <c r="L284" s="132"/>
      <c r="AC284" s="16"/>
    </row>
    <row r="285" spans="1:29" s="168" customFormat="1" x14ac:dyDescent="0.3">
      <c r="A285" s="171" t="s">
        <v>164</v>
      </c>
      <c r="B285" s="172">
        <f>B144</f>
        <v>0</v>
      </c>
      <c r="C285" s="172">
        <f t="shared" ref="C285:L285" si="102">C144</f>
        <v>0</v>
      </c>
      <c r="D285" s="172">
        <f t="shared" si="102"/>
        <v>5000</v>
      </c>
      <c r="E285" s="172">
        <f t="shared" si="102"/>
        <v>0</v>
      </c>
      <c r="F285" s="172">
        <f t="shared" si="102"/>
        <v>350000</v>
      </c>
      <c r="G285" s="172">
        <f t="shared" si="102"/>
        <v>0</v>
      </c>
      <c r="H285" s="172">
        <f t="shared" si="102"/>
        <v>0</v>
      </c>
      <c r="I285" s="172">
        <f t="shared" si="102"/>
        <v>0</v>
      </c>
      <c r="J285" s="172">
        <f t="shared" si="102"/>
        <v>0</v>
      </c>
      <c r="K285" s="172">
        <f t="shared" si="102"/>
        <v>0</v>
      </c>
      <c r="L285" s="173">
        <f t="shared" si="102"/>
        <v>355000</v>
      </c>
      <c r="M285" s="172"/>
      <c r="N285" s="172"/>
      <c r="O285" s="172"/>
      <c r="P285" s="172"/>
      <c r="Q285" s="172"/>
      <c r="R285" s="172"/>
      <c r="S285" s="172"/>
      <c r="T285" s="172"/>
      <c r="U285" s="172"/>
      <c r="V285" s="172"/>
      <c r="W285" s="172"/>
      <c r="X285" s="172"/>
      <c r="Y285" s="172"/>
      <c r="Z285" s="172"/>
      <c r="AA285" s="172"/>
      <c r="AB285" s="172"/>
      <c r="AC285" s="16">
        <f t="shared" ref="AC285:AC289" si="103">L285+AB285</f>
        <v>355000</v>
      </c>
    </row>
    <row r="286" spans="1:29" s="168" customFormat="1" x14ac:dyDescent="0.3">
      <c r="A286" s="171" t="s">
        <v>162</v>
      </c>
      <c r="F286" s="175">
        <f>F88</f>
        <v>33223</v>
      </c>
      <c r="L286" s="173">
        <f>SUM(B286:K286)</f>
        <v>33223</v>
      </c>
      <c r="AC286" s="16">
        <f t="shared" si="103"/>
        <v>33223</v>
      </c>
    </row>
    <row r="287" spans="1:29" x14ac:dyDescent="0.3">
      <c r="L287" s="173"/>
      <c r="AC287" s="16"/>
    </row>
    <row r="288" spans="1:29" ht="18" x14ac:dyDescent="0.35">
      <c r="A288" s="72" t="s">
        <v>81</v>
      </c>
      <c r="L288" s="173"/>
      <c r="AC288" s="16"/>
    </row>
    <row r="289" spans="1:29" x14ac:dyDescent="0.3">
      <c r="A289" s="70" t="s">
        <v>165</v>
      </c>
      <c r="B289" s="170">
        <v>0</v>
      </c>
      <c r="C289" s="170">
        <v>0</v>
      </c>
      <c r="D289" s="170">
        <v>0</v>
      </c>
      <c r="E289" s="170">
        <v>0</v>
      </c>
      <c r="F289" s="170">
        <v>0</v>
      </c>
      <c r="G289" s="170">
        <v>0</v>
      </c>
      <c r="H289" s="170">
        <v>0</v>
      </c>
      <c r="I289" s="170">
        <v>0</v>
      </c>
      <c r="J289" s="170">
        <v>0</v>
      </c>
      <c r="K289" s="170">
        <v>0</v>
      </c>
      <c r="L289" s="173">
        <f t="shared" ref="L289" si="104">SUM(B289:K289)</f>
        <v>0</v>
      </c>
      <c r="M289" s="170">
        <f>M88</f>
        <v>16150</v>
      </c>
      <c r="N289" s="170">
        <f t="shared" ref="N289:AB289" si="105">N88</f>
        <v>100</v>
      </c>
      <c r="O289" s="170">
        <f t="shared" si="105"/>
        <v>12200</v>
      </c>
      <c r="P289" s="170">
        <f t="shared" si="105"/>
        <v>200</v>
      </c>
      <c r="Q289" s="170">
        <f t="shared" si="105"/>
        <v>25850</v>
      </c>
      <c r="R289" s="170">
        <f t="shared" si="105"/>
        <v>350</v>
      </c>
      <c r="S289" s="170">
        <f t="shared" si="105"/>
        <v>350</v>
      </c>
      <c r="T289" s="170">
        <f t="shared" si="105"/>
        <v>6400</v>
      </c>
      <c r="U289" s="170">
        <f t="shared" si="105"/>
        <v>400</v>
      </c>
      <c r="V289" s="170">
        <f t="shared" si="105"/>
        <v>400</v>
      </c>
      <c r="W289" s="170">
        <f t="shared" si="105"/>
        <v>400</v>
      </c>
      <c r="X289" s="170">
        <f t="shared" si="105"/>
        <v>400</v>
      </c>
      <c r="Y289" s="170">
        <f t="shared" si="105"/>
        <v>400</v>
      </c>
      <c r="Z289" s="170">
        <f t="shared" si="105"/>
        <v>400</v>
      </c>
      <c r="AA289" s="170">
        <f t="shared" si="105"/>
        <v>400</v>
      </c>
      <c r="AB289" s="190">
        <f t="shared" si="105"/>
        <v>64400</v>
      </c>
      <c r="AC289" s="16">
        <f t="shared" si="103"/>
        <v>64400</v>
      </c>
    </row>
    <row r="291" spans="1:29" x14ac:dyDescent="0.3">
      <c r="L291" s="177"/>
    </row>
    <row r="294" spans="1:29" x14ac:dyDescent="0.3">
      <c r="L294" s="24"/>
    </row>
  </sheetData>
  <pageMargins left="0.70866141732283472" right="0.70866141732283472" top="0.74803149606299213" bottom="0.74803149606299213" header="0.31496062992125984" footer="0.31496062992125984"/>
  <pageSetup paperSize="8" scale="20"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75C99-C0EF-4BCC-B404-3DEC38F03BF9}">
  <dimension ref="A1:B296"/>
  <sheetViews>
    <sheetView topLeftCell="A25" workbookViewId="0">
      <selection activeCell="E52" sqref="E52"/>
    </sheetView>
  </sheetViews>
  <sheetFormatPr defaultRowHeight="14.4" x14ac:dyDescent="0.3"/>
  <cols>
    <col min="1" max="1" width="59.5546875" customWidth="1"/>
    <col min="2" max="2" width="14" style="170" customWidth="1"/>
  </cols>
  <sheetData>
    <row r="1" spans="1:2" x14ac:dyDescent="0.3">
      <c r="B1" s="193" t="s">
        <v>10</v>
      </c>
    </row>
    <row r="4" spans="1:2" x14ac:dyDescent="0.3">
      <c r="A4" t="s">
        <v>52</v>
      </c>
    </row>
    <row r="6" spans="1:2" x14ac:dyDescent="0.3">
      <c r="A6" t="s">
        <v>65</v>
      </c>
    </row>
    <row r="7" spans="1:2" x14ac:dyDescent="0.3">
      <c r="A7" t="s">
        <v>29</v>
      </c>
    </row>
    <row r="8" spans="1:2" x14ac:dyDescent="0.3">
      <c r="A8" t="s">
        <v>53</v>
      </c>
      <c r="B8" s="170">
        <v>65142</v>
      </c>
    </row>
    <row r="9" spans="1:2" x14ac:dyDescent="0.3">
      <c r="A9" t="s">
        <v>54</v>
      </c>
      <c r="B9" s="170">
        <v>102138.8</v>
      </c>
    </row>
    <row r="10" spans="1:2" x14ac:dyDescent="0.3">
      <c r="A10" t="s">
        <v>66</v>
      </c>
      <c r="B10" s="170">
        <v>167280.79999999999</v>
      </c>
    </row>
    <row r="12" spans="1:2" x14ac:dyDescent="0.3">
      <c r="A12" t="s">
        <v>55</v>
      </c>
      <c r="B12" s="170">
        <v>414705</v>
      </c>
    </row>
    <row r="13" spans="1:2" x14ac:dyDescent="0.3">
      <c r="A13" t="s">
        <v>56</v>
      </c>
      <c r="B13" s="170">
        <v>469202.99999999895</v>
      </c>
    </row>
    <row r="14" spans="1:2" x14ac:dyDescent="0.3">
      <c r="A14" t="s">
        <v>57</v>
      </c>
      <c r="B14" s="170">
        <v>297600</v>
      </c>
    </row>
    <row r="15" spans="1:2" x14ac:dyDescent="0.3">
      <c r="A15" t="s">
        <v>58</v>
      </c>
      <c r="B15" s="170">
        <v>132696</v>
      </c>
    </row>
    <row r="16" spans="1:2" x14ac:dyDescent="0.3">
      <c r="A16" t="s">
        <v>67</v>
      </c>
      <c r="B16" s="170">
        <v>1314203.9999999991</v>
      </c>
    </row>
    <row r="18" spans="1:2" x14ac:dyDescent="0.3">
      <c r="A18" t="s">
        <v>44</v>
      </c>
    </row>
    <row r="19" spans="1:2" x14ac:dyDescent="0.3">
      <c r="A19" t="s">
        <v>59</v>
      </c>
      <c r="B19" s="170">
        <v>240000</v>
      </c>
    </row>
    <row r="20" spans="1:2" x14ac:dyDescent="0.3">
      <c r="A20" t="s">
        <v>60</v>
      </c>
      <c r="B20" s="170">
        <v>50000</v>
      </c>
    </row>
    <row r="21" spans="1:2" x14ac:dyDescent="0.3">
      <c r="A21" t="s">
        <v>61</v>
      </c>
      <c r="B21" s="170">
        <v>10200</v>
      </c>
    </row>
    <row r="22" spans="1:2" x14ac:dyDescent="0.3">
      <c r="A22" t="s">
        <v>62</v>
      </c>
      <c r="B22" s="170">
        <v>38500</v>
      </c>
    </row>
    <row r="23" spans="1:2" x14ac:dyDescent="0.3">
      <c r="A23" t="s">
        <v>63</v>
      </c>
      <c r="B23" s="170">
        <v>338700</v>
      </c>
    </row>
    <row r="25" spans="1:2" x14ac:dyDescent="0.3">
      <c r="A25" t="s">
        <v>50</v>
      </c>
    </row>
    <row r="26" spans="1:2" x14ac:dyDescent="0.3">
      <c r="A26" t="s">
        <v>64</v>
      </c>
      <c r="B26" s="170">
        <v>0</v>
      </c>
    </row>
    <row r="27" spans="1:2" x14ac:dyDescent="0.3">
      <c r="A27" t="s">
        <v>68</v>
      </c>
      <c r="B27" s="170">
        <v>0</v>
      </c>
    </row>
    <row r="29" spans="1:2" x14ac:dyDescent="0.3">
      <c r="A29" t="s">
        <v>69</v>
      </c>
      <c r="B29" s="170">
        <v>1820184.7999999989</v>
      </c>
    </row>
    <row r="31" spans="1:2" x14ac:dyDescent="0.3">
      <c r="A31" t="s">
        <v>66</v>
      </c>
      <c r="B31" s="170">
        <v>167280.79999999999</v>
      </c>
    </row>
    <row r="32" spans="1:2" x14ac:dyDescent="0.3">
      <c r="A32" t="s">
        <v>67</v>
      </c>
      <c r="B32" s="170">
        <v>1314203.9999999991</v>
      </c>
    </row>
    <row r="33" spans="1:2" x14ac:dyDescent="0.3">
      <c r="A33" t="s">
        <v>63</v>
      </c>
      <c r="B33" s="170">
        <v>338700</v>
      </c>
    </row>
    <row r="34" spans="1:2" x14ac:dyDescent="0.3">
      <c r="A34" t="s">
        <v>68</v>
      </c>
      <c r="B34" s="170">
        <v>0</v>
      </c>
    </row>
    <row r="38" spans="1:2" x14ac:dyDescent="0.3">
      <c r="A38" t="s">
        <v>93</v>
      </c>
    </row>
    <row r="39" spans="1:2" x14ac:dyDescent="0.3">
      <c r="A39" t="s">
        <v>29</v>
      </c>
    </row>
    <row r="40" spans="1:2" x14ac:dyDescent="0.3">
      <c r="A40" t="s">
        <v>53</v>
      </c>
      <c r="B40" s="170">
        <v>9100</v>
      </c>
    </row>
    <row r="41" spans="1:2" x14ac:dyDescent="0.3">
      <c r="A41" t="s">
        <v>54</v>
      </c>
      <c r="B41" s="170">
        <v>33852</v>
      </c>
    </row>
    <row r="42" spans="1:2" x14ac:dyDescent="0.3">
      <c r="A42" t="s">
        <v>70</v>
      </c>
      <c r="B42" s="170">
        <v>42952</v>
      </c>
    </row>
    <row r="44" spans="1:2" x14ac:dyDescent="0.3">
      <c r="A44" t="s">
        <v>55</v>
      </c>
      <c r="B44" s="170">
        <v>85368</v>
      </c>
    </row>
    <row r="45" spans="1:2" x14ac:dyDescent="0.3">
      <c r="A45" t="s">
        <v>56</v>
      </c>
      <c r="B45" s="170">
        <v>12145</v>
      </c>
    </row>
    <row r="46" spans="1:2" x14ac:dyDescent="0.3">
      <c r="A46" t="s">
        <v>57</v>
      </c>
      <c r="B46" s="170">
        <v>30560</v>
      </c>
    </row>
    <row r="47" spans="1:2" x14ac:dyDescent="0.3">
      <c r="A47" t="s">
        <v>58</v>
      </c>
      <c r="B47" s="170">
        <v>5200</v>
      </c>
    </row>
    <row r="48" spans="1:2" x14ac:dyDescent="0.3">
      <c r="A48" t="s">
        <v>67</v>
      </c>
      <c r="B48" s="170">
        <v>133273</v>
      </c>
    </row>
    <row r="50" spans="1:2" x14ac:dyDescent="0.3">
      <c r="A50" t="s">
        <v>44</v>
      </c>
    </row>
    <row r="51" spans="1:2" x14ac:dyDescent="0.3">
      <c r="A51" t="s">
        <v>59</v>
      </c>
      <c r="B51" s="170">
        <v>76350</v>
      </c>
    </row>
    <row r="52" spans="1:2" x14ac:dyDescent="0.3">
      <c r="A52" t="s">
        <v>60</v>
      </c>
      <c r="B52" s="170">
        <v>12500</v>
      </c>
    </row>
    <row r="53" spans="1:2" x14ac:dyDescent="0.3">
      <c r="A53" t="s">
        <v>61</v>
      </c>
      <c r="B53" s="170">
        <v>750</v>
      </c>
    </row>
    <row r="54" spans="1:2" x14ac:dyDescent="0.3">
      <c r="A54" t="s">
        <v>62</v>
      </c>
      <c r="B54" s="170">
        <v>3370</v>
      </c>
    </row>
    <row r="55" spans="1:2" x14ac:dyDescent="0.3">
      <c r="A55" t="s">
        <v>71</v>
      </c>
      <c r="B55" s="170">
        <v>92970</v>
      </c>
    </row>
    <row r="57" spans="1:2" x14ac:dyDescent="0.3">
      <c r="A57" t="s">
        <v>50</v>
      </c>
    </row>
    <row r="58" spans="1:2" x14ac:dyDescent="0.3">
      <c r="A58" t="s">
        <v>64</v>
      </c>
    </row>
    <row r="59" spans="1:2" x14ac:dyDescent="0.3">
      <c r="A59" t="s">
        <v>68</v>
      </c>
      <c r="B59" s="170">
        <v>0</v>
      </c>
    </row>
    <row r="61" spans="1:2" x14ac:dyDescent="0.3">
      <c r="A61" t="s">
        <v>72</v>
      </c>
      <c r="B61" s="170">
        <v>269195</v>
      </c>
    </row>
    <row r="64" spans="1:2" x14ac:dyDescent="0.3">
      <c r="A64" t="s">
        <v>73</v>
      </c>
    </row>
    <row r="65" spans="1:2" x14ac:dyDescent="0.3">
      <c r="A65" t="s">
        <v>29</v>
      </c>
    </row>
    <row r="66" spans="1:2" x14ac:dyDescent="0.3">
      <c r="A66" t="s">
        <v>53</v>
      </c>
      <c r="B66" s="170">
        <v>56042</v>
      </c>
    </row>
    <row r="67" spans="1:2" x14ac:dyDescent="0.3">
      <c r="A67" t="s">
        <v>54</v>
      </c>
      <c r="B67" s="170">
        <v>68286.8</v>
      </c>
    </row>
    <row r="68" spans="1:2" x14ac:dyDescent="0.3">
      <c r="A68" t="s">
        <v>70</v>
      </c>
      <c r="B68" s="170">
        <v>124328.8</v>
      </c>
    </row>
    <row r="70" spans="1:2" x14ac:dyDescent="0.3">
      <c r="A70" t="s">
        <v>55</v>
      </c>
      <c r="B70" s="170">
        <v>329337</v>
      </c>
    </row>
    <row r="71" spans="1:2" x14ac:dyDescent="0.3">
      <c r="A71" t="s">
        <v>56</v>
      </c>
      <c r="B71" s="170">
        <v>457057.99999999895</v>
      </c>
    </row>
    <row r="72" spans="1:2" x14ac:dyDescent="0.3">
      <c r="A72" t="s">
        <v>57</v>
      </c>
      <c r="B72" s="170">
        <v>267040</v>
      </c>
    </row>
    <row r="73" spans="1:2" x14ac:dyDescent="0.3">
      <c r="A73" t="s">
        <v>58</v>
      </c>
      <c r="B73" s="170">
        <v>127496</v>
      </c>
    </row>
    <row r="74" spans="1:2" x14ac:dyDescent="0.3">
      <c r="A74" t="s">
        <v>67</v>
      </c>
      <c r="B74" s="170">
        <v>1180930.9999999991</v>
      </c>
    </row>
    <row r="76" spans="1:2" x14ac:dyDescent="0.3">
      <c r="A76" t="s">
        <v>44</v>
      </c>
    </row>
    <row r="77" spans="1:2" x14ac:dyDescent="0.3">
      <c r="A77" t="s">
        <v>59</v>
      </c>
      <c r="B77" s="170">
        <v>163650</v>
      </c>
    </row>
    <row r="78" spans="1:2" x14ac:dyDescent="0.3">
      <c r="A78" t="s">
        <v>60</v>
      </c>
      <c r="B78" s="170">
        <v>37500</v>
      </c>
    </row>
    <row r="79" spans="1:2" x14ac:dyDescent="0.3">
      <c r="A79" t="s">
        <v>61</v>
      </c>
      <c r="B79" s="170">
        <v>9450</v>
      </c>
    </row>
    <row r="80" spans="1:2" x14ac:dyDescent="0.3">
      <c r="A80" t="s">
        <v>62</v>
      </c>
      <c r="B80" s="170">
        <v>35130</v>
      </c>
    </row>
    <row r="81" spans="1:2" x14ac:dyDescent="0.3">
      <c r="A81" t="s">
        <v>71</v>
      </c>
      <c r="B81" s="170">
        <v>245730</v>
      </c>
    </row>
    <row r="83" spans="1:2" x14ac:dyDescent="0.3">
      <c r="A83" t="s">
        <v>50</v>
      </c>
    </row>
    <row r="84" spans="1:2" x14ac:dyDescent="0.3">
      <c r="A84" t="s">
        <v>64</v>
      </c>
    </row>
    <row r="85" spans="1:2" x14ac:dyDescent="0.3">
      <c r="A85" t="s">
        <v>68</v>
      </c>
      <c r="B85" s="170">
        <v>0</v>
      </c>
    </row>
    <row r="87" spans="1:2" ht="28.8" x14ac:dyDescent="0.3">
      <c r="A87" s="191" t="s">
        <v>91</v>
      </c>
      <c r="B87" s="170">
        <v>1550989.7999999989</v>
      </c>
    </row>
    <row r="89" spans="1:2" x14ac:dyDescent="0.3">
      <c r="A89" t="s">
        <v>95</v>
      </c>
    </row>
    <row r="90" spans="1:2" x14ac:dyDescent="0.3">
      <c r="A90" t="s">
        <v>96</v>
      </c>
    </row>
    <row r="91" spans="1:2" ht="28.8" x14ac:dyDescent="0.3">
      <c r="A91" s="191" t="s">
        <v>128</v>
      </c>
    </row>
    <row r="92" spans="1:2" ht="28.8" x14ac:dyDescent="0.3">
      <c r="A92" s="191" t="s">
        <v>97</v>
      </c>
    </row>
    <row r="93" spans="1:2" x14ac:dyDescent="0.3">
      <c r="A93" t="s">
        <v>98</v>
      </c>
      <c r="B93" s="170">
        <v>155610</v>
      </c>
    </row>
    <row r="95" spans="1:2" x14ac:dyDescent="0.3">
      <c r="A95" t="s">
        <v>116</v>
      </c>
      <c r="B95" s="170">
        <v>88307</v>
      </c>
    </row>
    <row r="96" spans="1:2" x14ac:dyDescent="0.3">
      <c r="A96" t="s">
        <v>129</v>
      </c>
      <c r="B96" s="170">
        <v>1307072.7999999989</v>
      </c>
    </row>
    <row r="98" spans="1:2" x14ac:dyDescent="0.3">
      <c r="A98" t="s">
        <v>94</v>
      </c>
    </row>
    <row r="100" spans="1:2" x14ac:dyDescent="0.3">
      <c r="A100" t="s">
        <v>130</v>
      </c>
    </row>
    <row r="101" spans="1:2" x14ac:dyDescent="0.3">
      <c r="A101" t="s">
        <v>131</v>
      </c>
      <c r="B101" s="170">
        <v>1344448</v>
      </c>
    </row>
    <row r="102" spans="1:2" x14ac:dyDescent="0.3">
      <c r="A102" t="s">
        <v>132</v>
      </c>
      <c r="B102" s="170">
        <v>90120</v>
      </c>
    </row>
    <row r="103" spans="1:2" x14ac:dyDescent="0.3">
      <c r="A103" t="s">
        <v>134</v>
      </c>
    </row>
    <row r="104" spans="1:2" x14ac:dyDescent="0.3">
      <c r="A104" t="s">
        <v>133</v>
      </c>
      <c r="B104" s="170">
        <v>1434568</v>
      </c>
    </row>
    <row r="106" spans="1:2" ht="72" x14ac:dyDescent="0.3">
      <c r="A106" s="191" t="s">
        <v>135</v>
      </c>
    </row>
    <row r="108" spans="1:2" x14ac:dyDescent="0.3">
      <c r="A108" t="s">
        <v>138</v>
      </c>
    </row>
    <row r="110" spans="1:2" x14ac:dyDescent="0.3">
      <c r="A110" t="s">
        <v>74</v>
      </c>
      <c r="B110" s="193" t="s">
        <v>10</v>
      </c>
    </row>
    <row r="111" spans="1:2" x14ac:dyDescent="0.3">
      <c r="A111" t="s">
        <v>28</v>
      </c>
    </row>
    <row r="113" spans="1:2" x14ac:dyDescent="0.3">
      <c r="A113" t="s">
        <v>29</v>
      </c>
    </row>
    <row r="114" spans="1:2" x14ac:dyDescent="0.3">
      <c r="A114" t="s">
        <v>30</v>
      </c>
    </row>
    <row r="115" spans="1:2" x14ac:dyDescent="0.3">
      <c r="A115" t="s">
        <v>31</v>
      </c>
      <c r="B115" s="170">
        <v>168500</v>
      </c>
    </row>
    <row r="116" spans="1:2" x14ac:dyDescent="0.3">
      <c r="A116" t="s">
        <v>32</v>
      </c>
      <c r="B116" s="170">
        <v>168500</v>
      </c>
    </row>
    <row r="117" spans="1:2" x14ac:dyDescent="0.3">
      <c r="A117" t="s">
        <v>33</v>
      </c>
      <c r="B117" s="170">
        <v>0</v>
      </c>
    </row>
    <row r="118" spans="1:2" x14ac:dyDescent="0.3">
      <c r="A118" t="s">
        <v>34</v>
      </c>
      <c r="B118" s="170">
        <v>0</v>
      </c>
    </row>
    <row r="119" spans="1:2" x14ac:dyDescent="0.3">
      <c r="A119" t="s">
        <v>35</v>
      </c>
      <c r="B119" s="170">
        <v>122500</v>
      </c>
    </row>
    <row r="120" spans="1:2" x14ac:dyDescent="0.3">
      <c r="A120" t="s">
        <v>36</v>
      </c>
      <c r="B120" s="170">
        <v>52500</v>
      </c>
    </row>
    <row r="121" spans="1:2" x14ac:dyDescent="0.3">
      <c r="A121" t="s">
        <v>37</v>
      </c>
      <c r="B121" s="170">
        <v>628000</v>
      </c>
    </row>
    <row r="122" spans="1:2" x14ac:dyDescent="0.3">
      <c r="A122" t="s">
        <v>122</v>
      </c>
      <c r="B122" s="170">
        <v>1140000</v>
      </c>
    </row>
    <row r="124" spans="1:2" ht="28.8" x14ac:dyDescent="0.3">
      <c r="A124" s="191" t="s">
        <v>38</v>
      </c>
      <c r="B124" s="170">
        <v>120000</v>
      </c>
    </row>
    <row r="126" spans="1:2" ht="28.8" x14ac:dyDescent="0.3">
      <c r="A126" s="191" t="s">
        <v>39</v>
      </c>
      <c r="B126" s="170">
        <v>191375.57</v>
      </c>
    </row>
    <row r="128" spans="1:2" x14ac:dyDescent="0.3">
      <c r="A128" s="191" t="s">
        <v>40</v>
      </c>
      <c r="B128" s="170">
        <v>0</v>
      </c>
    </row>
    <row r="129" spans="1:2" x14ac:dyDescent="0.3">
      <c r="A129" s="191" t="s">
        <v>41</v>
      </c>
      <c r="B129" s="170">
        <v>0</v>
      </c>
    </row>
    <row r="131" spans="1:2" ht="28.8" x14ac:dyDescent="0.3">
      <c r="A131" s="191" t="s">
        <v>42</v>
      </c>
      <c r="B131" s="170">
        <v>191400</v>
      </c>
    </row>
    <row r="133" spans="1:2" x14ac:dyDescent="0.3">
      <c r="A133" t="s">
        <v>43</v>
      </c>
      <c r="B133" s="170">
        <v>660108.6</v>
      </c>
    </row>
    <row r="135" spans="1:2" x14ac:dyDescent="0.3">
      <c r="A135" t="s">
        <v>140</v>
      </c>
      <c r="B135" s="170">
        <v>1162884.17</v>
      </c>
    </row>
    <row r="138" spans="1:2" x14ac:dyDescent="0.3">
      <c r="A138" s="191" t="s">
        <v>142</v>
      </c>
      <c r="B138" s="170">
        <v>2302884.17</v>
      </c>
    </row>
    <row r="140" spans="1:2" x14ac:dyDescent="0.3">
      <c r="A140" t="s">
        <v>44</v>
      </c>
    </row>
    <row r="141" spans="1:2" x14ac:dyDescent="0.3">
      <c r="A141" t="s">
        <v>45</v>
      </c>
    </row>
    <row r="142" spans="1:2" x14ac:dyDescent="0.3">
      <c r="A142" t="s">
        <v>167</v>
      </c>
      <c r="B142" s="170">
        <v>234000</v>
      </c>
    </row>
    <row r="143" spans="1:2" x14ac:dyDescent="0.3">
      <c r="A143" s="191" t="s">
        <v>143</v>
      </c>
      <c r="B143" s="170">
        <v>188500</v>
      </c>
    </row>
    <row r="144" spans="1:2" x14ac:dyDescent="0.3">
      <c r="A144" t="s">
        <v>123</v>
      </c>
      <c r="B144" s="170">
        <v>422500</v>
      </c>
    </row>
    <row r="146" spans="1:2" x14ac:dyDescent="0.3">
      <c r="A146" t="s">
        <v>47</v>
      </c>
      <c r="B146" s="170">
        <v>480000</v>
      </c>
    </row>
    <row r="148" spans="1:2" x14ac:dyDescent="0.3">
      <c r="A148" s="191" t="s">
        <v>48</v>
      </c>
      <c r="B148" s="170">
        <v>136912.5</v>
      </c>
    </row>
    <row r="150" spans="1:2" x14ac:dyDescent="0.3">
      <c r="A150" s="191" t="s">
        <v>40</v>
      </c>
      <c r="B150" s="170">
        <v>51500</v>
      </c>
    </row>
    <row r="151" spans="1:2" ht="28.8" x14ac:dyDescent="0.3">
      <c r="A151" s="191" t="s">
        <v>168</v>
      </c>
      <c r="B151" s="170">
        <v>355000</v>
      </c>
    </row>
    <row r="153" spans="1:2" x14ac:dyDescent="0.3">
      <c r="A153" s="191" t="s">
        <v>49</v>
      </c>
      <c r="B153" s="170">
        <v>100153.60000000001</v>
      </c>
    </row>
    <row r="154" spans="1:2" x14ac:dyDescent="0.3">
      <c r="A154" t="s">
        <v>141</v>
      </c>
      <c r="B154" s="170">
        <v>1123566.1000000001</v>
      </c>
    </row>
    <row r="155" spans="1:2" x14ac:dyDescent="0.3">
      <c r="A155" t="s">
        <v>144</v>
      </c>
      <c r="B155" s="170">
        <v>1546066.1</v>
      </c>
    </row>
    <row r="157" spans="1:2" x14ac:dyDescent="0.3">
      <c r="A157" t="s">
        <v>50</v>
      </c>
    </row>
    <row r="158" spans="1:2" x14ac:dyDescent="0.3">
      <c r="A158" t="s">
        <v>30</v>
      </c>
    </row>
    <row r="159" spans="1:2" x14ac:dyDescent="0.3">
      <c r="A159" t="s">
        <v>47</v>
      </c>
      <c r="B159" s="170">
        <v>600000</v>
      </c>
    </row>
    <row r="160" spans="1:2" x14ac:dyDescent="0.3">
      <c r="A160" s="191" t="s">
        <v>48</v>
      </c>
    </row>
    <row r="161" spans="1:2" x14ac:dyDescent="0.3">
      <c r="A161" t="s">
        <v>40</v>
      </c>
    </row>
    <row r="162" spans="1:2" x14ac:dyDescent="0.3">
      <c r="A162" t="s">
        <v>51</v>
      </c>
    </row>
    <row r="163" spans="1:2" x14ac:dyDescent="0.3">
      <c r="A163" t="s">
        <v>145</v>
      </c>
      <c r="B163" s="170">
        <v>600000</v>
      </c>
    </row>
    <row r="166" spans="1:2" ht="28.8" x14ac:dyDescent="0.3">
      <c r="A166" s="191" t="s">
        <v>136</v>
      </c>
      <c r="B166" s="170">
        <v>4448950.2699999996</v>
      </c>
    </row>
    <row r="169" spans="1:2" x14ac:dyDescent="0.3">
      <c r="A169" t="s">
        <v>151</v>
      </c>
    </row>
    <row r="171" spans="1:2" x14ac:dyDescent="0.3">
      <c r="A171" t="s">
        <v>150</v>
      </c>
    </row>
    <row r="172" spans="1:2" x14ac:dyDescent="0.3">
      <c r="A172" t="s">
        <v>105</v>
      </c>
    </row>
    <row r="173" spans="1:2" x14ac:dyDescent="0.3">
      <c r="A173" t="s">
        <v>101</v>
      </c>
      <c r="B173" s="170">
        <v>1344448</v>
      </c>
    </row>
    <row r="174" spans="1:2" x14ac:dyDescent="0.3">
      <c r="A174" t="s">
        <v>137</v>
      </c>
      <c r="B174" s="170">
        <v>880000</v>
      </c>
    </row>
    <row r="175" spans="1:2" x14ac:dyDescent="0.3">
      <c r="A175" t="s">
        <v>139</v>
      </c>
      <c r="B175" s="170">
        <v>464448</v>
      </c>
    </row>
    <row r="177" spans="1:2" x14ac:dyDescent="0.3">
      <c r="A177" t="s">
        <v>103</v>
      </c>
    </row>
    <row r="178" spans="1:2" x14ac:dyDescent="0.3">
      <c r="A178" t="s">
        <v>102</v>
      </c>
      <c r="B178" s="170">
        <v>464448</v>
      </c>
    </row>
    <row r="179" spans="1:2" x14ac:dyDescent="0.3">
      <c r="A179" t="s">
        <v>104</v>
      </c>
    </row>
    <row r="181" spans="1:2" x14ac:dyDescent="0.3">
      <c r="A181" t="s">
        <v>99</v>
      </c>
    </row>
    <row r="182" spans="1:2" x14ac:dyDescent="0.3">
      <c r="A182" s="192">
        <v>0.1</v>
      </c>
    </row>
    <row r="183" spans="1:2" ht="28.8" x14ac:dyDescent="0.3">
      <c r="A183" s="191" t="s">
        <v>154</v>
      </c>
    </row>
    <row r="185" spans="1:2" x14ac:dyDescent="0.3">
      <c r="A185" t="s">
        <v>146</v>
      </c>
      <c r="B185" s="170">
        <v>2533172.5870000003</v>
      </c>
    </row>
    <row r="187" spans="1:2" x14ac:dyDescent="0.3">
      <c r="A187" t="s">
        <v>125</v>
      </c>
    </row>
    <row r="188" spans="1:2" x14ac:dyDescent="0.3">
      <c r="A188" t="s">
        <v>169</v>
      </c>
      <c r="B188" s="170">
        <v>448831</v>
      </c>
    </row>
    <row r="189" spans="1:2" x14ac:dyDescent="0.3">
      <c r="A189" t="s">
        <v>117</v>
      </c>
    </row>
    <row r="190" spans="1:2" x14ac:dyDescent="0.3">
      <c r="A190" t="s">
        <v>106</v>
      </c>
      <c r="B190" s="170">
        <v>125000</v>
      </c>
    </row>
    <row r="191" spans="1:2" x14ac:dyDescent="0.3">
      <c r="A191" t="s">
        <v>107</v>
      </c>
      <c r="B191" s="170">
        <v>150905</v>
      </c>
    </row>
    <row r="192" spans="1:2" x14ac:dyDescent="0.3">
      <c r="A192" s="191" t="s">
        <v>170</v>
      </c>
      <c r="B192" s="170">
        <v>0</v>
      </c>
    </row>
    <row r="193" spans="1:2" x14ac:dyDescent="0.3">
      <c r="A193" t="s">
        <v>119</v>
      </c>
      <c r="B193" s="170">
        <v>65000</v>
      </c>
    </row>
    <row r="194" spans="1:2" x14ac:dyDescent="0.3">
      <c r="A194" t="s">
        <v>112</v>
      </c>
      <c r="B194" s="170">
        <v>175000</v>
      </c>
    </row>
    <row r="195" spans="1:2" x14ac:dyDescent="0.3">
      <c r="A195" t="s">
        <v>113</v>
      </c>
      <c r="B195" s="170">
        <v>485000</v>
      </c>
    </row>
    <row r="196" spans="1:2" x14ac:dyDescent="0.3">
      <c r="A196" t="s">
        <v>111</v>
      </c>
      <c r="B196" s="170">
        <v>900000</v>
      </c>
    </row>
    <row r="197" spans="1:2" x14ac:dyDescent="0.3">
      <c r="A197" t="s">
        <v>109</v>
      </c>
      <c r="B197" s="170">
        <v>100000</v>
      </c>
    </row>
    <row r="198" spans="1:2" x14ac:dyDescent="0.3">
      <c r="A198" t="s">
        <v>118</v>
      </c>
      <c r="B198" s="170">
        <v>170000</v>
      </c>
    </row>
    <row r="199" spans="1:2" x14ac:dyDescent="0.3">
      <c r="A199" t="s">
        <v>110</v>
      </c>
      <c r="B199" s="170">
        <v>0</v>
      </c>
    </row>
    <row r="200" spans="1:2" x14ac:dyDescent="0.3">
      <c r="A200" t="s">
        <v>120</v>
      </c>
      <c r="B200" s="170">
        <v>0</v>
      </c>
    </row>
    <row r="201" spans="1:2" x14ac:dyDescent="0.3">
      <c r="A201" t="s">
        <v>108</v>
      </c>
      <c r="B201" s="170">
        <v>2619736</v>
      </c>
    </row>
    <row r="203" spans="1:2" x14ac:dyDescent="0.3">
      <c r="A203" t="s">
        <v>156</v>
      </c>
      <c r="B203" s="170">
        <v>86563.412999999768</v>
      </c>
    </row>
    <row r="206" spans="1:2" x14ac:dyDescent="0.3">
      <c r="A206" t="s">
        <v>152</v>
      </c>
    </row>
    <row r="208" spans="1:2" x14ac:dyDescent="0.3">
      <c r="A208" t="s">
        <v>149</v>
      </c>
    </row>
    <row r="209" spans="1:2" x14ac:dyDescent="0.3">
      <c r="A209" t="s">
        <v>105</v>
      </c>
    </row>
    <row r="210" spans="1:2" x14ac:dyDescent="0.3">
      <c r="A210" t="s">
        <v>153</v>
      </c>
      <c r="B210" s="170">
        <v>86563.412999999768</v>
      </c>
    </row>
    <row r="211" spans="1:2" x14ac:dyDescent="0.3">
      <c r="A211" t="s">
        <v>114</v>
      </c>
      <c r="B211" s="170">
        <v>0</v>
      </c>
    </row>
    <row r="212" spans="1:2" x14ac:dyDescent="0.3">
      <c r="A212" t="s">
        <v>124</v>
      </c>
      <c r="B212" s="170">
        <v>90120</v>
      </c>
    </row>
    <row r="213" spans="1:2" x14ac:dyDescent="0.3">
      <c r="A213" t="s">
        <v>148</v>
      </c>
      <c r="B213" s="170">
        <v>176683.41299999977</v>
      </c>
    </row>
    <row r="215" spans="1:2" x14ac:dyDescent="0.3">
      <c r="A215" t="s">
        <v>103</v>
      </c>
    </row>
    <row r="216" spans="1:2" x14ac:dyDescent="0.3">
      <c r="A216" t="s">
        <v>102</v>
      </c>
      <c r="B216" s="170">
        <v>176683.41299999977</v>
      </c>
    </row>
    <row r="217" spans="1:2" x14ac:dyDescent="0.3">
      <c r="A217" t="s">
        <v>104</v>
      </c>
    </row>
    <row r="219" spans="1:2" x14ac:dyDescent="0.3">
      <c r="A219" t="s">
        <v>99</v>
      </c>
    </row>
    <row r="220" spans="1:2" x14ac:dyDescent="0.3">
      <c r="A220">
        <v>0.1</v>
      </c>
    </row>
    <row r="221" spans="1:2" ht="28.8" x14ac:dyDescent="0.3">
      <c r="A221" s="191" t="s">
        <v>155</v>
      </c>
    </row>
    <row r="223" spans="1:2" x14ac:dyDescent="0.3">
      <c r="A223" t="s">
        <v>100</v>
      </c>
      <c r="B223" s="170">
        <v>1700672.71</v>
      </c>
    </row>
    <row r="225" spans="1:2" x14ac:dyDescent="0.3">
      <c r="A225" t="s">
        <v>125</v>
      </c>
    </row>
    <row r="226" spans="1:2" x14ac:dyDescent="0.3">
      <c r="A226" t="s">
        <v>121</v>
      </c>
      <c r="B226" s="170">
        <v>176683.41299999977</v>
      </c>
    </row>
    <row r="227" spans="1:2" x14ac:dyDescent="0.3">
      <c r="A227" t="s">
        <v>117</v>
      </c>
    </row>
    <row r="228" spans="1:2" x14ac:dyDescent="0.3">
      <c r="A228" t="s">
        <v>106</v>
      </c>
      <c r="B228" s="170">
        <v>0</v>
      </c>
    </row>
    <row r="229" spans="1:2" x14ac:dyDescent="0.3">
      <c r="A229" t="s">
        <v>107</v>
      </c>
      <c r="B229" s="170">
        <v>119250</v>
      </c>
    </row>
    <row r="230" spans="1:2" x14ac:dyDescent="0.3">
      <c r="A230" t="s">
        <v>115</v>
      </c>
      <c r="B230" s="170">
        <v>0</v>
      </c>
    </row>
    <row r="231" spans="1:2" x14ac:dyDescent="0.3">
      <c r="A231" t="s">
        <v>119</v>
      </c>
      <c r="B231" s="170">
        <v>0</v>
      </c>
    </row>
    <row r="232" spans="1:2" x14ac:dyDescent="0.3">
      <c r="A232" t="s">
        <v>112</v>
      </c>
      <c r="B232" s="170">
        <v>10000</v>
      </c>
    </row>
    <row r="233" spans="1:2" x14ac:dyDescent="0.3">
      <c r="A233" t="s">
        <v>113</v>
      </c>
      <c r="B233" s="170">
        <v>675000</v>
      </c>
    </row>
    <row r="234" spans="1:2" x14ac:dyDescent="0.3">
      <c r="A234" t="s">
        <v>111</v>
      </c>
      <c r="B234" s="170">
        <v>700000</v>
      </c>
    </row>
    <row r="235" spans="1:2" x14ac:dyDescent="0.3">
      <c r="A235" t="s">
        <v>109</v>
      </c>
      <c r="B235" s="170">
        <v>100000</v>
      </c>
    </row>
    <row r="236" spans="1:2" x14ac:dyDescent="0.3">
      <c r="A236" t="s">
        <v>118</v>
      </c>
      <c r="B236" s="170">
        <v>30000</v>
      </c>
    </row>
    <row r="237" spans="1:2" x14ac:dyDescent="0.3">
      <c r="A237" t="s">
        <v>110</v>
      </c>
      <c r="B237" s="170">
        <v>0</v>
      </c>
    </row>
    <row r="238" spans="1:2" x14ac:dyDescent="0.3">
      <c r="A238" t="s">
        <v>126</v>
      </c>
      <c r="B238" s="170">
        <v>0</v>
      </c>
    </row>
    <row r="239" spans="1:2" x14ac:dyDescent="0.3">
      <c r="A239" t="s">
        <v>108</v>
      </c>
      <c r="B239" s="170">
        <v>1810933.4129999999</v>
      </c>
    </row>
    <row r="241" spans="1:2" x14ac:dyDescent="0.3">
      <c r="A241" t="s">
        <v>157</v>
      </c>
      <c r="B241" s="170">
        <v>110260.70299999969</v>
      </c>
    </row>
    <row r="249" spans="1:2" x14ac:dyDescent="0.3">
      <c r="A249" t="s">
        <v>75</v>
      </c>
    </row>
    <row r="251" spans="1:2" x14ac:dyDescent="0.3">
      <c r="A251" t="s">
        <v>76</v>
      </c>
    </row>
    <row r="252" spans="1:2" x14ac:dyDescent="0.3">
      <c r="A252" t="s">
        <v>77</v>
      </c>
    </row>
    <row r="253" spans="1:2" x14ac:dyDescent="0.3">
      <c r="A253" t="s">
        <v>78</v>
      </c>
      <c r="B253" s="170">
        <v>167280.79999999999</v>
      </c>
    </row>
    <row r="254" spans="1:2" x14ac:dyDescent="0.3">
      <c r="A254" t="s">
        <v>80</v>
      </c>
      <c r="B254" s="170">
        <v>1314203.9999999991</v>
      </c>
    </row>
    <row r="255" spans="1:2" x14ac:dyDescent="0.3">
      <c r="A255" t="s">
        <v>79</v>
      </c>
    </row>
    <row r="256" spans="1:2" x14ac:dyDescent="0.3">
      <c r="A256" t="s">
        <v>78</v>
      </c>
      <c r="B256" s="170">
        <v>338700</v>
      </c>
    </row>
    <row r="257" spans="1:2" x14ac:dyDescent="0.3">
      <c r="A257" t="s">
        <v>81</v>
      </c>
    </row>
    <row r="258" spans="1:2" x14ac:dyDescent="0.3">
      <c r="A258" t="s">
        <v>78</v>
      </c>
      <c r="B258" s="170">
        <v>0</v>
      </c>
    </row>
    <row r="260" spans="1:2" x14ac:dyDescent="0.3">
      <c r="A260" t="s">
        <v>82</v>
      </c>
      <c r="B260" s="170">
        <v>1820184.7999999991</v>
      </c>
    </row>
    <row r="262" spans="1:2" x14ac:dyDescent="0.3">
      <c r="A262" t="s">
        <v>83</v>
      </c>
    </row>
    <row r="264" spans="1:2" x14ac:dyDescent="0.3">
      <c r="A264" t="s">
        <v>84</v>
      </c>
    </row>
    <row r="265" spans="1:2" x14ac:dyDescent="0.3">
      <c r="A265" t="s">
        <v>77</v>
      </c>
      <c r="B265" s="170">
        <v>176225</v>
      </c>
    </row>
    <row r="266" spans="1:2" x14ac:dyDescent="0.3">
      <c r="A266" t="s">
        <v>79</v>
      </c>
      <c r="B266" s="170">
        <v>92970</v>
      </c>
    </row>
    <row r="267" spans="1:2" x14ac:dyDescent="0.3">
      <c r="A267" t="s">
        <v>81</v>
      </c>
      <c r="B267" s="170">
        <v>0</v>
      </c>
    </row>
    <row r="269" spans="1:2" x14ac:dyDescent="0.3">
      <c r="A269" t="s">
        <v>85</v>
      </c>
      <c r="B269" s="170">
        <v>269195</v>
      </c>
    </row>
    <row r="271" spans="1:2" x14ac:dyDescent="0.3">
      <c r="A271" t="s">
        <v>86</v>
      </c>
      <c r="B271" s="170">
        <v>269195</v>
      </c>
    </row>
    <row r="273" spans="1:2" x14ac:dyDescent="0.3">
      <c r="A273" t="s">
        <v>87</v>
      </c>
      <c r="B273" s="170">
        <v>1550989.7999999989</v>
      </c>
    </row>
    <row r="275" spans="1:2" x14ac:dyDescent="0.3">
      <c r="A275" t="s">
        <v>158</v>
      </c>
    </row>
    <row r="276" spans="1:2" x14ac:dyDescent="0.3">
      <c r="A276" t="s">
        <v>77</v>
      </c>
      <c r="B276" s="170">
        <v>2302884.17</v>
      </c>
    </row>
    <row r="277" spans="1:2" x14ac:dyDescent="0.3">
      <c r="A277" t="s">
        <v>79</v>
      </c>
      <c r="B277" s="170">
        <v>1546066.1</v>
      </c>
    </row>
    <row r="278" spans="1:2" x14ac:dyDescent="0.3">
      <c r="A278" t="s">
        <v>81</v>
      </c>
      <c r="B278" s="170">
        <v>600000</v>
      </c>
    </row>
    <row r="280" spans="1:2" ht="28.8" x14ac:dyDescent="0.3">
      <c r="A280" s="191" t="s">
        <v>166</v>
      </c>
      <c r="B280" s="170">
        <v>-2897960.4700000007</v>
      </c>
    </row>
    <row r="282" spans="1:2" x14ac:dyDescent="0.3">
      <c r="A282" t="s">
        <v>88</v>
      </c>
    </row>
    <row r="283" spans="1:2" x14ac:dyDescent="0.3">
      <c r="A283" t="s">
        <v>89</v>
      </c>
    </row>
    <row r="284" spans="1:2" x14ac:dyDescent="0.3">
      <c r="A284" t="s">
        <v>77</v>
      </c>
      <c r="B284" s="170">
        <v>1140000</v>
      </c>
    </row>
    <row r="285" spans="1:2" x14ac:dyDescent="0.3">
      <c r="A285" t="s">
        <v>79</v>
      </c>
      <c r="B285" s="170">
        <v>422500</v>
      </c>
    </row>
    <row r="287" spans="1:2" x14ac:dyDescent="0.3">
      <c r="A287" t="s">
        <v>90</v>
      </c>
    </row>
    <row r="288" spans="1:2" x14ac:dyDescent="0.3">
      <c r="A288" t="s">
        <v>161</v>
      </c>
    </row>
    <row r="289" spans="1:2" x14ac:dyDescent="0.3">
      <c r="A289" t="s">
        <v>163</v>
      </c>
    </row>
    <row r="290" spans="1:2" x14ac:dyDescent="0.3">
      <c r="A290" t="s">
        <v>160</v>
      </c>
      <c r="B290" s="170">
        <v>55084</v>
      </c>
    </row>
    <row r="291" spans="1:2" x14ac:dyDescent="0.3">
      <c r="A291" t="s">
        <v>79</v>
      </c>
    </row>
    <row r="292" spans="1:2" x14ac:dyDescent="0.3">
      <c r="A292" t="s">
        <v>164</v>
      </c>
      <c r="B292" s="170">
        <v>355000</v>
      </c>
    </row>
    <row r="293" spans="1:2" x14ac:dyDescent="0.3">
      <c r="A293" t="s">
        <v>162</v>
      </c>
      <c r="B293" s="170">
        <v>33223</v>
      </c>
    </row>
    <row r="295" spans="1:2" x14ac:dyDescent="0.3">
      <c r="A295" t="s">
        <v>81</v>
      </c>
    </row>
    <row r="296" spans="1:2" x14ac:dyDescent="0.3">
      <c r="A296" t="s">
        <v>165</v>
      </c>
      <c r="B296" s="170">
        <v>0</v>
      </c>
    </row>
  </sheetData>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WSWG Financial Projections&amp;P&amp;L</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2023-01-09T09:47:42Z</cp:lastPrinted>
  <dcterms:created xsi:type="dcterms:W3CDTF">2022-11-19T22:14:12Z</dcterms:created>
  <dcterms:modified xsi:type="dcterms:W3CDTF">2023-01-09T10:03:54Z</dcterms:modified>
</cp:coreProperties>
</file>